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8010" windowHeight="6390" activeTab="3"/>
  </bookViews>
  <sheets>
    <sheet name="Info" sheetId="1" r:id="rId1"/>
    <sheet name="0" sheetId="2" r:id="rId2"/>
    <sheet name="1" sheetId="3" r:id="rId3"/>
    <sheet name="2" sheetId="4" r:id="rId4"/>
    <sheet name="3" sheetId="5" r:id="rId5"/>
  </sheets>
  <definedNames/>
  <calcPr fullCalcOnLoad="1"/>
</workbook>
</file>

<file path=xl/sharedStrings.xml><?xml version="1.0" encoding="utf-8"?>
<sst xmlns="http://schemas.openxmlformats.org/spreadsheetml/2006/main" count="472" uniqueCount="229">
  <si>
    <r>
      <t>X</t>
    </r>
    <r>
      <rPr>
        <vertAlign val="subscript"/>
        <sz val="12"/>
        <rFont val="Arial"/>
        <family val="2"/>
      </rPr>
      <t>S</t>
    </r>
  </si>
  <si>
    <r>
      <t>Y</t>
    </r>
    <r>
      <rPr>
        <vertAlign val="subscript"/>
        <sz val="12"/>
        <rFont val="Arial"/>
        <family val="2"/>
      </rPr>
      <t>S</t>
    </r>
  </si>
  <si>
    <r>
      <t>e</t>
    </r>
    <r>
      <rPr>
        <vertAlign val="subscript"/>
        <sz val="12"/>
        <rFont val="Arial"/>
        <family val="2"/>
      </rPr>
      <t>1</t>
    </r>
  </si>
  <si>
    <r>
      <t>X</t>
    </r>
    <r>
      <rPr>
        <vertAlign val="subscript"/>
        <sz val="12"/>
        <rFont val="Arial"/>
        <family val="2"/>
      </rPr>
      <t>SR</t>
    </r>
  </si>
  <si>
    <r>
      <t>Y</t>
    </r>
    <r>
      <rPr>
        <vertAlign val="subscript"/>
        <sz val="12"/>
        <rFont val="Arial"/>
        <family val="2"/>
      </rPr>
      <t>SR</t>
    </r>
  </si>
  <si>
    <r>
      <t>A</t>
    </r>
    <r>
      <rPr>
        <vertAlign val="subscript"/>
        <sz val="12"/>
        <rFont val="Arial"/>
        <family val="2"/>
      </rPr>
      <t>R</t>
    </r>
  </si>
  <si>
    <r>
      <t>I</t>
    </r>
    <r>
      <rPr>
        <vertAlign val="subscript"/>
        <sz val="12"/>
        <rFont val="Arial"/>
        <family val="2"/>
      </rPr>
      <t>X-X</t>
    </r>
  </si>
  <si>
    <r>
      <t>W</t>
    </r>
    <r>
      <rPr>
        <vertAlign val="subscript"/>
        <sz val="12"/>
        <rFont val="Arial"/>
        <family val="2"/>
      </rPr>
      <t>X-X</t>
    </r>
  </si>
  <si>
    <r>
      <t>I</t>
    </r>
    <r>
      <rPr>
        <vertAlign val="subscript"/>
        <sz val="12"/>
        <rFont val="Arial"/>
        <family val="2"/>
      </rPr>
      <t>Y-Y</t>
    </r>
  </si>
  <si>
    <r>
      <t>W</t>
    </r>
    <r>
      <rPr>
        <vertAlign val="subscript"/>
        <sz val="12"/>
        <rFont val="Arial"/>
        <family val="2"/>
      </rPr>
      <t>Y-Y</t>
    </r>
  </si>
  <si>
    <t>b1</t>
  </si>
  <si>
    <t>t1</t>
  </si>
  <si>
    <t>t2</t>
  </si>
  <si>
    <t>h2</t>
  </si>
  <si>
    <t>b3</t>
  </si>
  <si>
    <t>t3</t>
  </si>
  <si>
    <t>t4</t>
  </si>
  <si>
    <t>h4</t>
  </si>
  <si>
    <t>bR</t>
  </si>
  <si>
    <t>hR</t>
  </si>
  <si>
    <t>bB</t>
  </si>
  <si>
    <t>X1</t>
  </si>
  <si>
    <t>Y1</t>
  </si>
  <si>
    <t>X2</t>
  </si>
  <si>
    <t>X3</t>
  </si>
  <si>
    <t>X4</t>
  </si>
  <si>
    <t>XR</t>
  </si>
  <si>
    <t>Y2</t>
  </si>
  <si>
    <t>Y3</t>
  </si>
  <si>
    <t>Y4</t>
  </si>
  <si>
    <t>YR</t>
  </si>
  <si>
    <r>
      <t>A</t>
    </r>
    <r>
      <rPr>
        <vertAlign val="subscript"/>
        <sz val="12"/>
        <rFont val="Arial"/>
        <family val="2"/>
      </rPr>
      <t>1</t>
    </r>
  </si>
  <si>
    <r>
      <t>A</t>
    </r>
    <r>
      <rPr>
        <vertAlign val="subscript"/>
        <sz val="12"/>
        <rFont val="Arial"/>
        <family val="2"/>
      </rPr>
      <t>2</t>
    </r>
  </si>
  <si>
    <r>
      <t>A</t>
    </r>
    <r>
      <rPr>
        <vertAlign val="subscript"/>
        <sz val="12"/>
        <rFont val="Arial"/>
        <family val="2"/>
      </rPr>
      <t>3</t>
    </r>
  </si>
  <si>
    <r>
      <t>A</t>
    </r>
    <r>
      <rPr>
        <vertAlign val="subscript"/>
        <sz val="12"/>
        <rFont val="Arial"/>
        <family val="2"/>
      </rPr>
      <t>4</t>
    </r>
  </si>
  <si>
    <t>Atop</t>
  </si>
  <si>
    <r>
      <t>X</t>
    </r>
    <r>
      <rPr>
        <vertAlign val="subscript"/>
        <sz val="12"/>
        <rFont val="Arial"/>
        <family val="2"/>
      </rPr>
      <t>S1</t>
    </r>
  </si>
  <si>
    <r>
      <t>Y</t>
    </r>
    <r>
      <rPr>
        <vertAlign val="subscript"/>
        <sz val="12"/>
        <rFont val="Arial"/>
        <family val="2"/>
      </rPr>
      <t>S1</t>
    </r>
  </si>
  <si>
    <r>
      <t>X</t>
    </r>
    <r>
      <rPr>
        <vertAlign val="subscript"/>
        <sz val="12"/>
        <rFont val="Arial"/>
        <family val="2"/>
      </rPr>
      <t>S2</t>
    </r>
  </si>
  <si>
    <r>
      <t>X</t>
    </r>
    <r>
      <rPr>
        <vertAlign val="subscript"/>
        <sz val="12"/>
        <rFont val="Arial"/>
        <family val="2"/>
      </rPr>
      <t>S3</t>
    </r>
  </si>
  <si>
    <r>
      <t>X</t>
    </r>
    <r>
      <rPr>
        <vertAlign val="subscript"/>
        <sz val="12"/>
        <rFont val="Arial"/>
        <family val="2"/>
      </rPr>
      <t>S4</t>
    </r>
  </si>
  <si>
    <r>
      <t>Y</t>
    </r>
    <r>
      <rPr>
        <vertAlign val="subscript"/>
        <sz val="12"/>
        <rFont val="Arial"/>
        <family val="2"/>
      </rPr>
      <t>S2</t>
    </r>
  </si>
  <si>
    <r>
      <t>Y</t>
    </r>
    <r>
      <rPr>
        <vertAlign val="subscript"/>
        <sz val="12"/>
        <rFont val="Arial"/>
        <family val="2"/>
      </rPr>
      <t>S3</t>
    </r>
  </si>
  <si>
    <r>
      <t>Y</t>
    </r>
    <r>
      <rPr>
        <vertAlign val="subscript"/>
        <sz val="12"/>
        <rFont val="Arial"/>
        <family val="2"/>
      </rPr>
      <t>S4</t>
    </r>
  </si>
  <si>
    <r>
      <t>I</t>
    </r>
    <r>
      <rPr>
        <vertAlign val="subscript"/>
        <sz val="12"/>
        <rFont val="Arial"/>
        <family val="2"/>
      </rPr>
      <t>1X</t>
    </r>
  </si>
  <si>
    <r>
      <t>I</t>
    </r>
    <r>
      <rPr>
        <vertAlign val="subscript"/>
        <sz val="12"/>
        <rFont val="Arial"/>
        <family val="2"/>
      </rPr>
      <t>2X</t>
    </r>
  </si>
  <si>
    <r>
      <t>I</t>
    </r>
    <r>
      <rPr>
        <vertAlign val="subscript"/>
        <sz val="12"/>
        <rFont val="Arial"/>
        <family val="2"/>
      </rPr>
      <t>3X</t>
    </r>
  </si>
  <si>
    <r>
      <t>I</t>
    </r>
    <r>
      <rPr>
        <vertAlign val="subscript"/>
        <sz val="12"/>
        <rFont val="Arial"/>
        <family val="2"/>
      </rPr>
      <t>4X</t>
    </r>
  </si>
  <si>
    <r>
      <t>I</t>
    </r>
    <r>
      <rPr>
        <vertAlign val="subscript"/>
        <sz val="12"/>
        <rFont val="Arial"/>
        <family val="2"/>
      </rPr>
      <t>RX</t>
    </r>
  </si>
  <si>
    <r>
      <t>I</t>
    </r>
    <r>
      <rPr>
        <vertAlign val="subscript"/>
        <sz val="12"/>
        <rFont val="Arial"/>
        <family val="2"/>
      </rPr>
      <t>1Y</t>
    </r>
  </si>
  <si>
    <r>
      <t>I</t>
    </r>
    <r>
      <rPr>
        <vertAlign val="subscript"/>
        <sz val="12"/>
        <rFont val="Arial"/>
        <family val="2"/>
      </rPr>
      <t>2Y</t>
    </r>
  </si>
  <si>
    <r>
      <t>I</t>
    </r>
    <r>
      <rPr>
        <vertAlign val="subscript"/>
        <sz val="12"/>
        <rFont val="Arial"/>
        <family val="2"/>
      </rPr>
      <t>3Y</t>
    </r>
  </si>
  <si>
    <r>
      <t>I</t>
    </r>
    <r>
      <rPr>
        <vertAlign val="subscript"/>
        <sz val="12"/>
        <rFont val="Arial"/>
        <family val="2"/>
      </rPr>
      <t>4Y</t>
    </r>
  </si>
  <si>
    <r>
      <t>I</t>
    </r>
    <r>
      <rPr>
        <vertAlign val="subscript"/>
        <sz val="12"/>
        <rFont val="Arial"/>
        <family val="2"/>
      </rPr>
      <t>RY</t>
    </r>
  </si>
  <si>
    <t>mm</t>
  </si>
  <si>
    <r>
      <t>mm</t>
    </r>
    <r>
      <rPr>
        <vertAlign val="superscript"/>
        <sz val="12"/>
        <rFont val="Arial"/>
        <family val="2"/>
      </rPr>
      <t>2</t>
    </r>
  </si>
  <si>
    <t>kg/m</t>
  </si>
  <si>
    <t>kg</t>
  </si>
  <si>
    <r>
      <t>u</t>
    </r>
    <r>
      <rPr>
        <vertAlign val="subscript"/>
        <sz val="12"/>
        <rFont val="Arial"/>
        <family val="2"/>
      </rPr>
      <t>2</t>
    </r>
  </si>
  <si>
    <r>
      <t>u</t>
    </r>
    <r>
      <rPr>
        <vertAlign val="subscript"/>
        <sz val="12"/>
        <rFont val="Arial"/>
        <family val="2"/>
      </rPr>
      <t>1</t>
    </r>
  </si>
  <si>
    <r>
      <t>e</t>
    </r>
    <r>
      <rPr>
        <vertAlign val="subscript"/>
        <sz val="12"/>
        <rFont val="Arial"/>
        <family val="2"/>
      </rPr>
      <t>2</t>
    </r>
  </si>
  <si>
    <t>b</t>
  </si>
  <si>
    <t>q</t>
  </si>
  <si>
    <t>TL</t>
  </si>
  <si>
    <t>$</t>
  </si>
  <si>
    <t>Dolar</t>
  </si>
  <si>
    <t>EU</t>
  </si>
  <si>
    <t>E</t>
  </si>
  <si>
    <t>www.guven-kutay.ch</t>
  </si>
  <si>
    <t>e-mail :  info@guven-kutay.ch</t>
  </si>
  <si>
    <t>Copyright : M. G. Kutay , Ver 09.01</t>
  </si>
  <si>
    <t>Türkçe için, lütfen " 1 " yaz ve "Enter" i tuşla.</t>
  </si>
  <si>
    <t>Für Deutsch, tippen Sie bitte " 2 " ein und enter.</t>
  </si>
  <si>
    <t>For English, please type " 3 " and press "enter".</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</si>
  <si>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</si>
  <si>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TR</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</si>
  <si>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</si>
  <si>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D</t>
  </si>
  <si>
    <t>All information in this program is factual to the best knowledge of the author and corresponds to the current state of the technology. However, no liability is accepted for erroneous application. The user and/or the customer of this program must check the validity of simplifications on an individual basis and if necessary, make appropriate calculations. If you have some correction, clarification or other question, you can reply to us.</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</si>
  <si>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</si>
  <si>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</si>
  <si>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in this program (the blue fields), can be taken either from the documents on this Web site or from literature.</t>
  </si>
  <si>
    <t>Giriş ve Kullanma talımatı:</t>
  </si>
  <si>
    <t>Bu programı bilgisayarınızda kendinize göre bir yere kopyasını çıkarınız. Hesap yapacağınız zaman bilgisayardaki programı kullanınız.</t>
  </si>
  <si>
    <t>Kullanacağınız sayfaya gelince, hesaplamaya başlamadan önce, bütün mavi karelerdeki değerleri siliniz. Böylece dikkatsizlik yanlışı yapma imkanını ortadan kaldırmış olursunuz.</t>
  </si>
  <si>
    <t>Sıra ile mavi karelere yapacağınız hesaba ait değerleri dikkatlice yerleştiriniz. Hesaplamalarınız için gerekli olmayan mavi karelere değerler yerleştirmek yanlış hesap sonuçlarına sebep olabilir. Dikkatli olmak gereklidir.</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</si>
  <si>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</si>
  <si>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Çoğu mavi karenin çevresinde değerlerin nereden alınması gerektiğini gösteren bilgi bulunmaktadır. Bu gösterilere uyulması hesapların doğruluğu açısından çok önemlidir.</t>
  </si>
  <si>
    <t>Bazı karelere kitaptan alınması gereken bilgiler gereklidir ve nereden alınacağı tam olarak belirtilmemiştir. Bu durumda, hesapları bilinçli yapabilmek için, hesaba başlamadan önce zaman ayırıp kitapta verilen teoriyi ve gerekiyorsa başka literatürlerdende gerekli bilgileri edinmek avantajdır.</t>
  </si>
  <si>
    <t>Genel olarak her hesap sayfasının sağ alt köşesinde program sonuçları bilgisayar tarafından değerlendirilir. Bu değerlendirme bilgi sayar tarafından yapılan mekanik bir değerlendirmedir. Konstruktör bu sonuçları kendi aklı selimi, yani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</si>
  <si>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Eğer cıvata hesaplamalarında özel bir konstruksiyonun hesabı gerekiyorsa veya öğrenmek istediğiniz bir şey varsa, hiç çekinmeden benimle temasa geçebilirsiniz. Bilgimin yettiği ve vaktimin olduğu kadar size memnuniyetle yardım ederim.</t>
  </si>
  <si>
    <t>DE</t>
  </si>
  <si>
    <t>Benützung des Programmes</t>
  </si>
  <si>
    <t>Kopieren Sie dieses Programm auf Ihrem Computer, wohin Sie es wollen. Verwenden Sie bei der Berechnungen das Programm, welches Sie auf Ihrem Computer haben.</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</si>
  <si>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</si>
  <si>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</si>
  <si>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</si>
  <si>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In der Umgebung der blauen Felder gibt es Hinweis, wo man die entsprechende Werte entnehmen kann. Es ist für die Sicherheit der Berechnungen sehr wichtig. Die Hinweise müssen befolgt werden.</t>
  </si>
  <si>
    <t>In den blauen Felder soll die Werte aus dem Buch eingetragen werden. Um sicheren Berechnungen durchzuführen, sind gute Kenntnisse des Buches notwendig (theorie Kenntnisse).</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</si>
  <si>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</si>
  <si>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Wenn Sie bei einer speziellen Aufgabe etwas brauchen, dürfen Sie jederzeit  mit mir Kontakt aufnehmen und Ihre Probleme mitteilen. Soweit ich kann,  werde ich versuchen Ihnen zu helfen.</t>
  </si>
  <si>
    <t>EN</t>
  </si>
  <si>
    <t>Using of the program</t>
  </si>
  <si>
    <t xml:space="preserve">Copy this program on your computer where you want it. Employ you with that calculations the program which you have on your computer. </t>
  </si>
  <si>
    <t>If you look up the calculation page, please, you extinguish all values in the blue fields at first so that no oversights can happen.</t>
  </si>
  <si>
    <t>Please, you enter carefully of the values for calculation fields to the blue one. If you a blue not need field for your calculation, enter nothing (possible source of errors). Please, you pay attention.</t>
  </si>
  <si>
    <t xml:space="preserve">The program computes calculation sizes from the blue fields. The designer can accept immediately jener as required and orders this or change it correspondingly. </t>
  </si>
  <si>
    <t>In the environment of the blue fields, there is reference where one can take the corresponding worth. It is very important for safety of the calculations. The references must be followed.</t>
  </si>
  <si>
    <t>In the blue the worth one ought fields be registered from the book. Around secure calculations to carry out are necessary for good knowledge of the book (theories knowledge).</t>
  </si>
  <si>
    <t>The program in general judges the results on the lower right on the calculation leaf. Computational values are only matched. The program judges the results as permissible or inadmissible. The designer must control the results for both cases according to his healthy human intellect again, judge them and after this may decide. The program is no decision-making body but decision aid.</t>
  </si>
  <si>
    <t>If you need something in the case of a specific task, you may contact me at any time contact and inform of your problems. As far as I can, I will attempt to help you.</t>
  </si>
  <si>
    <t>2</t>
  </si>
  <si>
    <t>hP</t>
  </si>
  <si>
    <t>cm</t>
  </si>
  <si>
    <t>N</t>
  </si>
  <si>
    <t>kN</t>
  </si>
  <si>
    <t>m/dak</t>
  </si>
  <si>
    <t>m</t>
  </si>
  <si>
    <t>j</t>
  </si>
  <si>
    <t>y</t>
  </si>
  <si>
    <t>n</t>
  </si>
  <si>
    <t>H</t>
  </si>
  <si>
    <r>
      <t>I</t>
    </r>
    <r>
      <rPr>
        <vertAlign val="subscript"/>
        <sz val="10"/>
        <rFont val="Arial"/>
        <family val="2"/>
      </rPr>
      <t>X-X</t>
    </r>
  </si>
  <si>
    <r>
      <t>cm</t>
    </r>
    <r>
      <rPr>
        <vertAlign val="superscript"/>
        <sz val="10"/>
        <rFont val="Arial"/>
        <family val="2"/>
      </rPr>
      <t>4</t>
    </r>
  </si>
  <si>
    <r>
      <t>I</t>
    </r>
    <r>
      <rPr>
        <vertAlign val="subscript"/>
        <sz val="10"/>
        <rFont val="Arial"/>
        <family val="2"/>
      </rPr>
      <t>Y-Y</t>
    </r>
  </si>
  <si>
    <r>
      <t>W</t>
    </r>
    <r>
      <rPr>
        <vertAlign val="subscript"/>
        <sz val="10"/>
        <rFont val="Arial"/>
        <family val="2"/>
      </rPr>
      <t>X-X</t>
    </r>
  </si>
  <si>
    <r>
      <t>cm</t>
    </r>
    <r>
      <rPr>
        <vertAlign val="superscript"/>
        <sz val="10"/>
        <rFont val="Arial"/>
        <family val="2"/>
      </rPr>
      <t>3</t>
    </r>
  </si>
  <si>
    <r>
      <t>W</t>
    </r>
    <r>
      <rPr>
        <vertAlign val="subscript"/>
        <sz val="10"/>
        <rFont val="Arial"/>
        <family val="2"/>
      </rPr>
      <t>Y-Y</t>
    </r>
  </si>
  <si>
    <r>
      <t>s</t>
    </r>
    <r>
      <rPr>
        <vertAlign val="subscript"/>
        <sz val="10"/>
        <rFont val="Times New Roman"/>
        <family val="1"/>
      </rPr>
      <t>1</t>
    </r>
  </si>
  <si>
    <r>
      <t>N/mm</t>
    </r>
    <r>
      <rPr>
        <vertAlign val="superscript"/>
        <sz val="10"/>
        <rFont val="Arial"/>
        <family val="2"/>
      </rPr>
      <t>2</t>
    </r>
  </si>
  <si>
    <r>
      <t>s</t>
    </r>
    <r>
      <rPr>
        <vertAlign val="subscript"/>
        <sz val="10"/>
        <rFont val="Times New Roman"/>
        <family val="1"/>
      </rPr>
      <t>2</t>
    </r>
  </si>
  <si>
    <r>
      <t>s</t>
    </r>
    <r>
      <rPr>
        <vertAlign val="subscript"/>
        <sz val="10"/>
        <rFont val="Times New Roman"/>
        <family val="1"/>
      </rPr>
      <t>3</t>
    </r>
  </si>
  <si>
    <r>
      <t>s</t>
    </r>
    <r>
      <rPr>
        <vertAlign val="subscript"/>
        <sz val="10"/>
        <rFont val="Times New Roman"/>
        <family val="1"/>
      </rPr>
      <t>4</t>
    </r>
  </si>
  <si>
    <r>
      <t>s</t>
    </r>
    <r>
      <rPr>
        <vertAlign val="subscript"/>
        <sz val="10"/>
        <rFont val="Times New Roman"/>
        <family val="1"/>
      </rPr>
      <t>5</t>
    </r>
  </si>
  <si>
    <r>
      <t>k</t>
    </r>
    <r>
      <rPr>
        <vertAlign val="subscript"/>
        <sz val="10"/>
        <rFont val="Arial"/>
        <family val="2"/>
      </rPr>
      <t>B</t>
    </r>
  </si>
  <si>
    <r>
      <t>s</t>
    </r>
    <r>
      <rPr>
        <vertAlign val="subscript"/>
        <sz val="10"/>
        <rFont val="Times New Roman"/>
        <family val="1"/>
      </rPr>
      <t>max</t>
    </r>
  </si>
  <si>
    <r>
      <t>s</t>
    </r>
    <r>
      <rPr>
        <vertAlign val="subscript"/>
        <sz val="10"/>
        <rFont val="Times New Roman"/>
        <family val="1"/>
      </rPr>
      <t>min</t>
    </r>
  </si>
  <si>
    <r>
      <t>t</t>
    </r>
    <r>
      <rPr>
        <vertAlign val="subscript"/>
        <sz val="10"/>
        <rFont val="Times New Roman"/>
        <family val="1"/>
      </rPr>
      <t>max</t>
    </r>
  </si>
  <si>
    <r>
      <t>s</t>
    </r>
    <r>
      <rPr>
        <vertAlign val="subscript"/>
        <sz val="10"/>
        <rFont val="Times New Roman"/>
        <family val="1"/>
      </rPr>
      <t>kar</t>
    </r>
  </si>
  <si>
    <t>B3</t>
  </si>
  <si>
    <r>
      <t>k</t>
    </r>
    <r>
      <rPr>
        <vertAlign val="subscript"/>
        <sz val="10"/>
        <rFont val="Symbol"/>
        <family val="1"/>
      </rPr>
      <t>t</t>
    </r>
  </si>
  <si>
    <r>
      <t>k</t>
    </r>
    <r>
      <rPr>
        <vertAlign val="subscript"/>
        <sz val="10"/>
        <rFont val="Symbol"/>
        <family val="1"/>
      </rPr>
      <t>s</t>
    </r>
  </si>
  <si>
    <r>
      <t>s</t>
    </r>
    <r>
      <rPr>
        <vertAlign val="subscript"/>
        <sz val="10"/>
        <rFont val="Times New Roman"/>
        <family val="1"/>
      </rPr>
      <t>e</t>
    </r>
  </si>
  <si>
    <r>
      <t>k</t>
    </r>
    <r>
      <rPr>
        <vertAlign val="subscript"/>
        <sz val="10"/>
        <rFont val="Symbol"/>
        <family val="1"/>
      </rPr>
      <t>k</t>
    </r>
    <r>
      <rPr>
        <vertAlign val="subscript"/>
        <sz val="10"/>
        <rFont val="Arial"/>
        <family val="2"/>
      </rPr>
      <t>K</t>
    </r>
  </si>
  <si>
    <r>
      <t>l</t>
    </r>
    <r>
      <rPr>
        <vertAlign val="subscript"/>
        <sz val="10"/>
        <rFont val="Arial"/>
        <family val="2"/>
      </rPr>
      <t>P</t>
    </r>
    <r>
      <rPr>
        <vertAlign val="subscript"/>
        <sz val="10"/>
        <rFont val="Symbol"/>
        <family val="1"/>
      </rPr>
      <t>s</t>
    </r>
  </si>
  <si>
    <r>
      <t>k</t>
    </r>
    <r>
      <rPr>
        <vertAlign val="subscript"/>
        <sz val="10"/>
        <rFont val="Symbol"/>
        <family val="1"/>
      </rPr>
      <t>ks</t>
    </r>
  </si>
  <si>
    <r>
      <t>k</t>
    </r>
    <r>
      <rPr>
        <vertAlign val="subscript"/>
        <sz val="10"/>
        <rFont val="Symbol"/>
        <family val="1"/>
      </rPr>
      <t>kt</t>
    </r>
  </si>
  <si>
    <r>
      <t>l</t>
    </r>
    <r>
      <rPr>
        <vertAlign val="subscript"/>
        <sz val="10"/>
        <rFont val="Arial"/>
        <family val="2"/>
      </rPr>
      <t>P</t>
    </r>
    <r>
      <rPr>
        <vertAlign val="subscript"/>
        <sz val="10"/>
        <rFont val="Symbol"/>
        <family val="1"/>
      </rPr>
      <t>t</t>
    </r>
  </si>
  <si>
    <r>
      <t>c</t>
    </r>
    <r>
      <rPr>
        <vertAlign val="subscript"/>
        <sz val="10"/>
        <rFont val="Symbol"/>
        <family val="1"/>
      </rPr>
      <t>ks</t>
    </r>
    <r>
      <rPr>
        <vertAlign val="subscript"/>
        <sz val="10"/>
        <rFont val="Arial"/>
        <family val="2"/>
      </rPr>
      <t>H</t>
    </r>
  </si>
  <si>
    <r>
      <t>S</t>
    </r>
    <r>
      <rPr>
        <vertAlign val="subscript"/>
        <sz val="10"/>
        <rFont val="Arial"/>
        <family val="2"/>
      </rPr>
      <t>GER</t>
    </r>
  </si>
  <si>
    <r>
      <t>S</t>
    </r>
    <r>
      <rPr>
        <vertAlign val="subscript"/>
        <sz val="10"/>
        <rFont val="Arial"/>
        <family val="2"/>
      </rPr>
      <t>hes</t>
    </r>
  </si>
  <si>
    <r>
      <t>S</t>
    </r>
    <r>
      <rPr>
        <vertAlign val="subscript"/>
        <sz val="10"/>
        <rFont val="Arial"/>
        <family val="2"/>
      </rPr>
      <t>gen</t>
    </r>
  </si>
  <si>
    <r>
      <t>s</t>
    </r>
    <r>
      <rPr>
        <vertAlign val="subscript"/>
        <sz val="10"/>
        <rFont val="Times New Roman"/>
        <family val="1"/>
      </rPr>
      <t>DçEM</t>
    </r>
  </si>
  <si>
    <r>
      <t>s</t>
    </r>
    <r>
      <rPr>
        <vertAlign val="subscript"/>
        <sz val="10"/>
        <rFont val="Times New Roman"/>
        <family val="1"/>
      </rPr>
      <t>çEM</t>
    </r>
  </si>
  <si>
    <t>s-</t>
  </si>
  <si>
    <t>t-</t>
  </si>
  <si>
    <r>
      <t>t-</t>
    </r>
    <r>
      <rPr>
        <sz val="10"/>
        <rFont val="Arial"/>
        <family val="2"/>
      </rPr>
      <t xml:space="preserve"> </t>
    </r>
  </si>
  <si>
    <r>
      <t>L</t>
    </r>
    <r>
      <rPr>
        <vertAlign val="subscript"/>
        <sz val="10"/>
        <rFont val="Arial"/>
        <family val="2"/>
      </rPr>
      <t>K</t>
    </r>
    <r>
      <rPr>
        <sz val="10"/>
        <rFont val="Arial"/>
        <family val="2"/>
      </rPr>
      <t>/f</t>
    </r>
  </si>
  <si>
    <r>
      <t>f</t>
    </r>
    <r>
      <rPr>
        <vertAlign val="subscript"/>
        <sz val="10"/>
        <rFont val="Arial"/>
        <family val="2"/>
      </rPr>
      <t>hes</t>
    </r>
  </si>
  <si>
    <r>
      <t>q</t>
    </r>
    <r>
      <rPr>
        <vertAlign val="subscript"/>
        <sz val="10"/>
        <rFont val="Arial"/>
        <family val="2"/>
      </rPr>
      <t>Ki</t>
    </r>
  </si>
  <si>
    <r>
      <t>R</t>
    </r>
    <r>
      <rPr>
        <vertAlign val="subscript"/>
        <sz val="10"/>
        <rFont val="Arial"/>
        <family val="2"/>
      </rPr>
      <t>m</t>
    </r>
  </si>
  <si>
    <r>
      <t>R</t>
    </r>
    <r>
      <rPr>
        <vertAlign val="subscript"/>
        <sz val="10"/>
        <rFont val="Arial"/>
        <family val="2"/>
      </rPr>
      <t>e</t>
    </r>
  </si>
  <si>
    <r>
      <t>f</t>
    </r>
    <r>
      <rPr>
        <vertAlign val="subscript"/>
        <sz val="10"/>
        <rFont val="Arial"/>
        <family val="2"/>
      </rPr>
      <t>max</t>
    </r>
  </si>
  <si>
    <r>
      <t>v</t>
    </r>
    <r>
      <rPr>
        <vertAlign val="subscript"/>
        <sz val="10"/>
        <rFont val="Arial"/>
        <family val="2"/>
      </rPr>
      <t>V</t>
    </r>
  </si>
  <si>
    <r>
      <t>L</t>
    </r>
    <r>
      <rPr>
        <vertAlign val="subscript"/>
        <sz val="10"/>
        <rFont val="Arial"/>
        <family val="2"/>
      </rPr>
      <t>A</t>
    </r>
  </si>
  <si>
    <r>
      <t>F</t>
    </r>
    <r>
      <rPr>
        <vertAlign val="subscript"/>
        <sz val="10"/>
        <rFont val="Arial"/>
        <family val="2"/>
      </rPr>
      <t>A</t>
    </r>
  </si>
  <si>
    <r>
      <t>v</t>
    </r>
    <r>
      <rPr>
        <vertAlign val="subscript"/>
        <sz val="10"/>
        <rFont val="Arial"/>
        <family val="2"/>
      </rPr>
      <t>A</t>
    </r>
  </si>
  <si>
    <r>
      <t>L</t>
    </r>
    <r>
      <rPr>
        <vertAlign val="subscript"/>
        <sz val="10"/>
        <rFont val="Arial"/>
        <family val="2"/>
      </rPr>
      <t>K</t>
    </r>
  </si>
  <si>
    <r>
      <t>v</t>
    </r>
    <r>
      <rPr>
        <vertAlign val="subscript"/>
        <sz val="10"/>
        <rFont val="Arial"/>
        <family val="2"/>
      </rPr>
      <t>K</t>
    </r>
  </si>
  <si>
    <r>
      <t>F</t>
    </r>
    <r>
      <rPr>
        <vertAlign val="subscript"/>
        <sz val="10"/>
        <rFont val="Arial"/>
        <family val="2"/>
      </rPr>
      <t>Y</t>
    </r>
  </si>
  <si>
    <t>……………………………….....……….</t>
  </si>
  <si>
    <t>6tx15m tek vardiya atölye vinci</t>
  </si>
  <si>
    <t>K4</t>
  </si>
  <si>
    <t>KK05</t>
  </si>
  <si>
    <r>
      <t>c</t>
    </r>
    <r>
      <rPr>
        <sz val="12"/>
        <rFont val="Arial"/>
        <family val="2"/>
      </rPr>
      <t>m</t>
    </r>
    <r>
      <rPr>
        <vertAlign val="superscript"/>
        <sz val="12"/>
        <rFont val="Arial"/>
        <family val="2"/>
      </rPr>
      <t>4</t>
    </r>
  </si>
  <si>
    <r>
      <t>c</t>
    </r>
    <r>
      <rPr>
        <sz val="12"/>
        <rFont val="Arial"/>
        <family val="2"/>
      </rPr>
      <t>m</t>
    </r>
    <r>
      <rPr>
        <vertAlign val="superscript"/>
        <sz val="12"/>
        <rFont val="Arial"/>
        <family val="2"/>
      </rPr>
      <t>3</t>
    </r>
  </si>
  <si>
    <t>h</t>
  </si>
  <si>
    <r>
      <t>c</t>
    </r>
    <r>
      <rPr>
        <sz val="12"/>
        <rFont val="Arial"/>
        <family val="2"/>
      </rPr>
      <t>m</t>
    </r>
    <r>
      <rPr>
        <vertAlign val="superscript"/>
        <sz val="12"/>
        <rFont val="Arial"/>
        <family val="2"/>
      </rPr>
      <t>4</t>
    </r>
  </si>
  <si>
    <r>
      <t>cm</t>
    </r>
    <r>
      <rPr>
        <vertAlign val="superscript"/>
        <sz val="12"/>
        <rFont val="Arial"/>
        <family val="2"/>
      </rPr>
      <t>3</t>
    </r>
  </si>
  <si>
    <r>
      <t>cm</t>
    </r>
    <r>
      <rPr>
        <vertAlign val="superscript"/>
        <sz val="12"/>
        <rFont val="Arial"/>
        <family val="2"/>
      </rPr>
      <t>4</t>
    </r>
  </si>
  <si>
    <t>bA</t>
  </si>
  <si>
    <t>hA</t>
  </si>
  <si>
    <r>
      <t>cm</t>
    </r>
    <r>
      <rPr>
        <vertAlign val="superscript"/>
        <sz val="12"/>
        <rFont val="Arial"/>
        <family val="2"/>
      </rPr>
      <t>2</t>
    </r>
  </si>
  <si>
    <t>bx</t>
  </si>
  <si>
    <t>Rbh</t>
  </si>
  <si>
    <t>q'</t>
  </si>
  <si>
    <r>
      <t>A</t>
    </r>
    <r>
      <rPr>
        <vertAlign val="subscript"/>
        <sz val="12"/>
        <color indexed="10"/>
        <rFont val="Arial"/>
        <family val="2"/>
      </rPr>
      <t>Or</t>
    </r>
  </si>
  <si>
    <r>
      <t>A</t>
    </r>
    <r>
      <rPr>
        <vertAlign val="subscript"/>
        <sz val="12"/>
        <color indexed="12"/>
        <rFont val="Arial"/>
        <family val="2"/>
      </rPr>
      <t>0</t>
    </r>
  </si>
  <si>
    <t>3</t>
  </si>
  <si>
    <r>
      <t>q</t>
    </r>
    <r>
      <rPr>
        <vertAlign val="subscript"/>
        <sz val="12"/>
        <rFont val="Arial"/>
        <family val="2"/>
      </rPr>
      <t>PL</t>
    </r>
  </si>
  <si>
    <t>cm2</t>
  </si>
  <si>
    <t>Lper</t>
  </si>
  <si>
    <t>1 000</t>
  </si>
  <si>
    <t>2 000</t>
  </si>
  <si>
    <t>¥</t>
  </si>
  <si>
    <t>St37</t>
  </si>
  <si>
    <t>St 52</t>
  </si>
  <si>
    <t>HZ</t>
  </si>
  <si>
    <t>K2</t>
  </si>
  <si>
    <t>K3</t>
  </si>
  <si>
    <t>B1</t>
  </si>
  <si>
    <t>B2</t>
  </si>
  <si>
    <t>B4</t>
  </si>
  <si>
    <t>B5</t>
  </si>
  <si>
    <t>B6</t>
  </si>
  <si>
    <t>St52</t>
  </si>
  <si>
    <r>
      <t>k</t>
    </r>
    <r>
      <rPr>
        <vertAlign val="subscript"/>
        <sz val="10"/>
        <rFont val="Times New Roman"/>
        <family val="1"/>
      </rPr>
      <t>F</t>
    </r>
  </si>
  <si>
    <r>
      <t>k</t>
    </r>
    <r>
      <rPr>
        <vertAlign val="subscript"/>
        <sz val="10"/>
        <rFont val="Symbol"/>
        <family val="1"/>
      </rPr>
      <t>Bu</t>
    </r>
  </si>
  <si>
    <r>
      <t>L</t>
    </r>
    <r>
      <rPr>
        <vertAlign val="subscript"/>
        <sz val="10"/>
        <rFont val="Arial"/>
        <family val="2"/>
      </rPr>
      <t>P</t>
    </r>
  </si>
  <si>
    <r>
      <t>q</t>
    </r>
    <r>
      <rPr>
        <vertAlign val="subscript"/>
        <sz val="10"/>
        <rFont val="Arial"/>
        <family val="2"/>
      </rPr>
      <t>P</t>
    </r>
  </si>
  <si>
    <r>
      <t>s</t>
    </r>
    <r>
      <rPr>
        <vertAlign val="subscript"/>
        <sz val="10"/>
        <rFont val="Times New Roman"/>
        <family val="1"/>
      </rPr>
      <t>D(</t>
    </r>
    <r>
      <rPr>
        <vertAlign val="subscript"/>
        <sz val="10"/>
        <rFont val="Symbol"/>
        <family val="1"/>
      </rPr>
      <t>k</t>
    </r>
    <r>
      <rPr>
        <vertAlign val="subscript"/>
        <sz val="10"/>
        <rFont val="Times New Roman"/>
        <family val="1"/>
      </rPr>
      <t>F)EM</t>
    </r>
  </si>
  <si>
    <r>
      <t>s</t>
    </r>
    <r>
      <rPr>
        <vertAlign val="subscript"/>
        <sz val="10"/>
        <rFont val="Times New Roman"/>
        <family val="1"/>
      </rPr>
      <t>Bui</t>
    </r>
  </si>
  <si>
    <r>
      <t>t</t>
    </r>
    <r>
      <rPr>
        <vertAlign val="subscript"/>
        <sz val="10"/>
        <rFont val="Times New Roman"/>
        <family val="1"/>
      </rPr>
      <t>Bui</t>
    </r>
  </si>
  <si>
    <r>
      <t>s</t>
    </r>
    <r>
      <rPr>
        <vertAlign val="subscript"/>
        <sz val="10"/>
        <rFont val="Times New Roman"/>
        <family val="1"/>
      </rPr>
      <t>karBu</t>
    </r>
  </si>
  <si>
    <r>
      <t>t</t>
    </r>
    <r>
      <rPr>
        <vertAlign val="subscript"/>
        <sz val="10"/>
        <rFont val="Times New Roman"/>
        <family val="1"/>
      </rPr>
      <t>SBu</t>
    </r>
  </si>
  <si>
    <r>
      <t>s</t>
    </r>
    <r>
      <rPr>
        <vertAlign val="subscript"/>
        <sz val="10"/>
        <rFont val="Times New Roman"/>
        <family val="1"/>
      </rPr>
      <t>SBu</t>
    </r>
  </si>
  <si>
    <r>
      <t>F</t>
    </r>
    <r>
      <rPr>
        <vertAlign val="subscript"/>
        <sz val="10"/>
        <rFont val="Arial"/>
        <family val="2"/>
      </rPr>
      <t>TD</t>
    </r>
  </si>
  <si>
    <r>
      <t>J</t>
    </r>
    <r>
      <rPr>
        <vertAlign val="subscript"/>
        <sz val="10"/>
        <rFont val="Arial"/>
        <family val="2"/>
      </rPr>
      <t>Xger</t>
    </r>
  </si>
  <si>
    <r>
      <t>s</t>
    </r>
    <r>
      <rPr>
        <vertAlign val="subscript"/>
        <sz val="10"/>
        <rFont val="Times New Roman"/>
        <family val="1"/>
      </rPr>
      <t>BuHes</t>
    </r>
  </si>
  <si>
    <r>
      <t>k</t>
    </r>
    <r>
      <rPr>
        <vertAlign val="subscript"/>
        <sz val="10"/>
        <rFont val="Times New Roman"/>
        <family val="1"/>
      </rPr>
      <t>BuÜ</t>
    </r>
  </si>
  <si>
    <r>
      <t>k</t>
    </r>
    <r>
      <rPr>
        <vertAlign val="subscript"/>
        <sz val="10"/>
        <rFont val="Symbol"/>
        <family val="1"/>
      </rPr>
      <t>s</t>
    </r>
    <r>
      <rPr>
        <vertAlign val="subscript"/>
        <sz val="10"/>
        <rFont val="Times New Roman"/>
        <family val="1"/>
      </rPr>
      <t>Ü</t>
    </r>
  </si>
  <si>
    <r>
      <t>k</t>
    </r>
    <r>
      <rPr>
        <vertAlign val="subscript"/>
        <sz val="10"/>
        <rFont val="Symbol"/>
        <family val="1"/>
      </rPr>
      <t>t</t>
    </r>
    <r>
      <rPr>
        <vertAlign val="subscript"/>
        <sz val="10"/>
        <rFont val="Times New Roman"/>
        <family val="1"/>
      </rPr>
      <t>Ü</t>
    </r>
  </si>
  <si>
    <r>
      <t>s</t>
    </r>
    <r>
      <rPr>
        <vertAlign val="subscript"/>
        <sz val="10"/>
        <rFont val="Times New Roman"/>
        <family val="1"/>
      </rPr>
      <t>eÜ</t>
    </r>
  </si>
  <si>
    <r>
      <t>s</t>
    </r>
    <r>
      <rPr>
        <vertAlign val="subscript"/>
        <sz val="10"/>
        <rFont val="Times New Roman"/>
        <family val="1"/>
      </rPr>
      <t>BuÜ</t>
    </r>
  </si>
  <si>
    <r>
      <t>t</t>
    </r>
    <r>
      <rPr>
        <vertAlign val="subscript"/>
        <sz val="10"/>
        <rFont val="Times New Roman"/>
        <family val="1"/>
      </rPr>
      <t>BuÜ</t>
    </r>
  </si>
  <si>
    <r>
      <t>s</t>
    </r>
    <r>
      <rPr>
        <vertAlign val="subscript"/>
        <sz val="10"/>
        <rFont val="Times New Roman"/>
        <family val="1"/>
      </rPr>
      <t>karBuÜ</t>
    </r>
  </si>
  <si>
    <r>
      <t>S</t>
    </r>
    <r>
      <rPr>
        <vertAlign val="subscript"/>
        <sz val="10"/>
        <rFont val="Arial"/>
        <family val="2"/>
      </rPr>
      <t>Var</t>
    </r>
  </si>
  <si>
    <r>
      <t>b</t>
    </r>
    <r>
      <rPr>
        <vertAlign val="subscript"/>
        <sz val="10"/>
        <rFont val="Arial"/>
        <family val="2"/>
      </rPr>
      <t>Ü</t>
    </r>
  </si>
  <si>
    <r>
      <t>L</t>
    </r>
    <r>
      <rPr>
        <vertAlign val="subscript"/>
        <sz val="10"/>
        <rFont val="Arial"/>
        <family val="2"/>
      </rPr>
      <t>P</t>
    </r>
    <r>
      <rPr>
        <sz val="10"/>
        <rFont val="Arial"/>
        <family val="2"/>
      </rPr>
      <t>/Bü</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</si>
</sst>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quot;SFr.&quot;\ * #,##0.00_ ;_ &quot;SFr.&quot;\ * \-#,##0.00_ ;_ &quot;SFr.&quot;\ * &quot;-&quot;??_ ;_ @_ "/>
    <numFmt numFmtId="186" formatCode="0.0"/>
    <numFmt numFmtId="187" formatCode="0.000"/>
    <numFmt numFmtId="188" formatCode="0&quot;)&quot;"/>
    <numFmt numFmtId="189" formatCode="#,##0.0\ &quot;kg/m&quot;"/>
    <numFmt numFmtId="190" formatCode="#,##0.0"/>
    <numFmt numFmtId="191" formatCode="00"/>
    <numFmt numFmtId="192" formatCode="#,##0\ &quot;m&quot;"/>
    <numFmt numFmtId="193" formatCode="#,##0\ &quot;mm&quot;"/>
    <numFmt numFmtId="194" formatCode="&quot;KK &quot;00"/>
    <numFmt numFmtId="195" formatCode="&quot;KK&quot;00"/>
    <numFmt numFmtId="196" formatCode="0.0\ &quot;t&quot;"/>
    <numFmt numFmtId="197" formatCode="&quot;Ja&quot;;&quot;Ja&quot;;&quot;Nein&quot;"/>
    <numFmt numFmtId="198" formatCode="&quot;Wahr&quot;;&quot;Wahr&quot;;&quot;Falsch&quot;"/>
    <numFmt numFmtId="199" formatCode="&quot;Ein&quot;;&quot;Ein&quot;;&quot;Aus&quot;"/>
    <numFmt numFmtId="200" formatCode="[$€-2]\ #,##0.00_);[Red]\([$€-2]\ #,##0.00\)"/>
    <numFmt numFmtId="201" formatCode="0\ &quot;)&quot;"/>
  </numFmts>
  <fonts count="38">
    <font>
      <sz val="12"/>
      <name val="Arial"/>
      <family val="2"/>
    </font>
    <font>
      <b/>
      <sz val="10"/>
      <name val="MS Sans Serif"/>
      <family val="0"/>
    </font>
    <font>
      <i/>
      <sz val="10"/>
      <name val="MS Sans Serif"/>
      <family val="0"/>
    </font>
    <font>
      <b/>
      <i/>
      <sz val="10"/>
      <name val="MS Sans Serif"/>
      <family val="0"/>
    </font>
    <font>
      <sz val="10"/>
      <name val="MS Sans Serif"/>
      <family val="0"/>
    </font>
    <font>
      <b/>
      <sz val="12"/>
      <color indexed="39"/>
      <name val="Arial"/>
      <family val="2"/>
    </font>
    <font>
      <sz val="12"/>
      <color indexed="10"/>
      <name val="Arial"/>
      <family val="2"/>
    </font>
    <font>
      <sz val="12"/>
      <color indexed="17"/>
      <name val="Arial"/>
      <family val="2"/>
    </font>
    <font>
      <vertAlign val="subscript"/>
      <sz val="12"/>
      <name val="Arial"/>
      <family val="2"/>
    </font>
    <font>
      <sz val="12"/>
      <color indexed="39"/>
      <name val="Arial"/>
      <family val="2"/>
    </font>
    <font>
      <vertAlign val="superscript"/>
      <sz val="12"/>
      <name val="Arial"/>
      <family val="2"/>
    </font>
    <font>
      <b/>
      <sz val="12"/>
      <color indexed="10"/>
      <name val="Arial"/>
      <family val="2"/>
    </font>
    <font>
      <b/>
      <sz val="12"/>
      <name val="Arial"/>
      <family val="2"/>
    </font>
    <font>
      <sz val="10"/>
      <name val="Arial"/>
      <family val="2"/>
    </font>
    <font>
      <b/>
      <sz val="10"/>
      <color indexed="10"/>
      <name val="Arial"/>
      <family val="2"/>
    </font>
    <font>
      <sz val="10"/>
      <color indexed="10"/>
      <name val="Arial"/>
      <family val="2"/>
    </font>
    <font>
      <sz val="12"/>
      <name val="MS Sans Serif"/>
      <family val="2"/>
    </font>
    <font>
      <u val="single"/>
      <sz val="10"/>
      <color indexed="12"/>
      <name val="Arial"/>
      <family val="2"/>
    </font>
    <font>
      <b/>
      <sz val="48"/>
      <color indexed="10"/>
      <name val="Arial"/>
      <family val="2"/>
    </font>
    <font>
      <b/>
      <sz val="12"/>
      <color indexed="10"/>
      <name val="MS Sans Serif"/>
      <family val="2"/>
    </font>
    <font>
      <u val="single"/>
      <sz val="9"/>
      <color indexed="36"/>
      <name val="Arial"/>
      <family val="2"/>
    </font>
    <font>
      <i/>
      <sz val="12"/>
      <color indexed="10"/>
      <name val="Arial"/>
      <family val="2"/>
    </font>
    <font>
      <sz val="8"/>
      <name val="Arial"/>
      <family val="2"/>
    </font>
    <font>
      <b/>
      <i/>
      <sz val="12"/>
      <color indexed="10"/>
      <name val="Arial"/>
      <family val="2"/>
    </font>
    <font>
      <sz val="14"/>
      <name val="Times New Roman"/>
      <family val="1"/>
    </font>
    <font>
      <b/>
      <i/>
      <sz val="10"/>
      <color indexed="10"/>
      <name val="Arial"/>
      <family val="2"/>
    </font>
    <font>
      <vertAlign val="subscript"/>
      <sz val="10"/>
      <name val="Arial"/>
      <family val="2"/>
    </font>
    <font>
      <vertAlign val="superscript"/>
      <sz val="10"/>
      <name val="Arial"/>
      <family val="2"/>
    </font>
    <font>
      <sz val="10"/>
      <name val="Symbol"/>
      <family val="1"/>
    </font>
    <font>
      <vertAlign val="subscript"/>
      <sz val="10"/>
      <name val="Times New Roman"/>
      <family val="1"/>
    </font>
    <font>
      <sz val="10"/>
      <color indexed="12"/>
      <name val="Arial"/>
      <family val="2"/>
    </font>
    <font>
      <vertAlign val="subscript"/>
      <sz val="10"/>
      <name val="Symbol"/>
      <family val="1"/>
    </font>
    <font>
      <b/>
      <i/>
      <sz val="10"/>
      <color indexed="12"/>
      <name val="Arial"/>
      <family val="2"/>
    </font>
    <font>
      <sz val="12"/>
      <color indexed="12"/>
      <name val="Arial"/>
      <family val="2"/>
    </font>
    <font>
      <vertAlign val="subscript"/>
      <sz val="12"/>
      <color indexed="10"/>
      <name val="Arial"/>
      <family val="2"/>
    </font>
    <font>
      <vertAlign val="subscript"/>
      <sz val="12"/>
      <color indexed="12"/>
      <name val="Arial"/>
      <family val="2"/>
    </font>
    <font>
      <sz val="12"/>
      <name val="Times New Roman"/>
      <family val="1"/>
    </font>
    <font>
      <sz val="12"/>
      <name val="Symbol"/>
      <family val="1"/>
    </font>
  </fonts>
  <fills count="9">
    <fill>
      <patternFill/>
    </fill>
    <fill>
      <patternFill patternType="gray125"/>
    </fill>
    <fill>
      <patternFill patternType="lightGray">
        <fgColor indexed="41"/>
        <bgColor indexed="9"/>
      </patternFill>
    </fill>
    <fill>
      <patternFill patternType="lightGray">
        <fgColor indexed="13"/>
      </patternFill>
    </fill>
    <fill>
      <patternFill patternType="lightGray">
        <fgColor indexed="11"/>
      </patternFill>
    </fill>
    <fill>
      <patternFill patternType="lightGray">
        <fgColor indexed="41"/>
      </patternFill>
    </fill>
    <fill>
      <patternFill patternType="lightGray">
        <fgColor indexed="13"/>
        <bgColor indexed="9"/>
      </patternFill>
    </fill>
    <fill>
      <patternFill patternType="lightGray">
        <fgColor indexed="15"/>
        <bgColor indexed="9"/>
      </patternFill>
    </fill>
    <fill>
      <patternFill patternType="lightGray">
        <fgColor indexed="15"/>
      </patternFill>
    </fill>
  </fills>
  <borders count="25">
    <border>
      <left/>
      <right/>
      <top/>
      <bottom/>
      <diagonal/>
    </border>
    <border>
      <left>
        <color indexed="63"/>
      </left>
      <right>
        <color indexed="63"/>
      </right>
      <top style="hair"/>
      <bottom style="hair"/>
    </border>
    <border>
      <left>
        <color indexed="63"/>
      </left>
      <right>
        <color indexed="63"/>
      </right>
      <top>
        <color indexed="63"/>
      </top>
      <bottom style="hair"/>
    </border>
    <border>
      <left style="double">
        <color indexed="10"/>
      </left>
      <right style="double">
        <color indexed="10"/>
      </right>
      <top style="double">
        <color indexed="10"/>
      </top>
      <bottom style="hair">
        <color indexed="10"/>
      </bottom>
    </border>
    <border>
      <left style="double">
        <color indexed="10"/>
      </left>
      <right style="double">
        <color indexed="10"/>
      </right>
      <top style="hair">
        <color indexed="10"/>
      </top>
      <bottom style="hair">
        <color indexed="10"/>
      </bottom>
    </border>
    <border>
      <left style="double">
        <color indexed="10"/>
      </left>
      <right style="double">
        <color indexed="10"/>
      </right>
      <top style="hair">
        <color indexed="10"/>
      </top>
      <bottom style="double">
        <color indexed="10"/>
      </bottom>
    </border>
    <border>
      <left style="double">
        <color indexed="10"/>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hair"/>
      <right style="hair"/>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style="double">
        <color indexed="10"/>
      </left>
      <right style="double">
        <color indexed="10"/>
      </right>
      <top style="double">
        <color indexed="10"/>
      </top>
      <bottom style="double">
        <color indexed="10"/>
      </bottom>
    </border>
    <border>
      <left>
        <color indexed="63"/>
      </left>
      <right style="hair"/>
      <top>
        <color indexed="63"/>
      </top>
      <bottom>
        <color indexed="63"/>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17" fillId="0" borderId="0" applyNumberFormat="0" applyFill="0" applyBorder="0" applyAlignment="0" applyProtection="0"/>
    <xf numFmtId="9" fontId="4" fillId="0" borderId="0" applyFont="0" applyFill="0" applyBorder="0" applyAlignment="0" applyProtection="0"/>
    <xf numFmtId="175" fontId="4" fillId="0" borderId="0" applyFont="0" applyFill="0" applyBorder="0" applyAlignment="0" applyProtection="0"/>
    <xf numFmtId="173" fontId="4" fillId="0" borderId="0" applyFont="0" applyFill="0" applyBorder="0" applyAlignment="0" applyProtection="0"/>
  </cellStyleXfs>
  <cellXfs count="220">
    <xf numFmtId="0" fontId="0" fillId="0" borderId="0" xfId="0" applyAlignment="1">
      <alignment vertical="center"/>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vertical="center"/>
      <protection hidden="1"/>
    </xf>
    <xf numFmtId="0" fontId="5" fillId="2" borderId="0" xfId="0" applyFont="1" applyFill="1" applyAlignment="1" applyProtection="1">
      <alignment horizontal="left" vertical="center"/>
      <protection locked="0"/>
    </xf>
    <xf numFmtId="0" fontId="6" fillId="0" borderId="0" xfId="0" applyFont="1" applyFill="1" applyAlignment="1" applyProtection="1" quotePrefix="1">
      <alignment horizontal="left" vertical="center"/>
      <protection hidden="1"/>
    </xf>
    <xf numFmtId="0" fontId="0" fillId="0" borderId="0" xfId="0" applyFont="1" applyFill="1" applyAlignment="1" applyProtection="1">
      <alignment vertical="center"/>
      <protection hidden="1"/>
    </xf>
    <xf numFmtId="188" fontId="7" fillId="0" borderId="0" xfId="0" applyNumberFormat="1" applyFont="1" applyAlignment="1" applyProtection="1">
      <alignment horizontal="right" vertical="center"/>
      <protection hidden="1"/>
    </xf>
    <xf numFmtId="0" fontId="6" fillId="0" borderId="0" xfId="0" applyFont="1" applyAlignment="1" applyProtection="1">
      <alignment vertical="center"/>
      <protection hidden="1"/>
    </xf>
    <xf numFmtId="0" fontId="0" fillId="0" borderId="1"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0" fillId="0" borderId="1" xfId="0" applyFont="1" applyBorder="1" applyAlignment="1" applyProtection="1">
      <alignment vertical="center"/>
      <protection hidden="1"/>
    </xf>
    <xf numFmtId="0" fontId="5" fillId="0" borderId="0" xfId="0" applyFont="1" applyAlignment="1" applyProtection="1">
      <alignment vertical="center"/>
      <protection hidden="1"/>
    </xf>
    <xf numFmtId="186" fontId="9" fillId="2" borderId="1" xfId="0" applyNumberFormat="1" applyFont="1" applyFill="1" applyBorder="1" applyAlignment="1" applyProtection="1">
      <alignment horizontal="right" vertical="center"/>
      <protection locked="0"/>
    </xf>
    <xf numFmtId="186" fontId="6" fillId="0" borderId="1" xfId="0" applyNumberFormat="1" applyFont="1" applyFill="1" applyBorder="1" applyAlignment="1" applyProtection="1">
      <alignment horizontal="right" vertical="center"/>
      <protection hidden="1"/>
    </xf>
    <xf numFmtId="190" fontId="6" fillId="0" borderId="1" xfId="0" applyNumberFormat="1" applyFont="1" applyFill="1" applyBorder="1" applyAlignment="1" applyProtection="1">
      <alignment horizontal="right" vertical="center"/>
      <protection hidden="1"/>
    </xf>
    <xf numFmtId="1" fontId="6" fillId="0" borderId="1" xfId="0" applyNumberFormat="1" applyFont="1" applyFill="1" applyBorder="1" applyAlignment="1" applyProtection="1">
      <alignment horizontal="right" vertical="center"/>
      <protection hidden="1"/>
    </xf>
    <xf numFmtId="0" fontId="0" fillId="0" borderId="1" xfId="0" applyFont="1" applyBorder="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vertical="center"/>
      <protection hidden="1"/>
    </xf>
    <xf numFmtId="0" fontId="0" fillId="0" borderId="2" xfId="0" applyFont="1" applyBorder="1" applyAlignment="1" applyProtection="1">
      <alignment vertical="center"/>
      <protection hidden="1"/>
    </xf>
    <xf numFmtId="0" fontId="5" fillId="0" borderId="0" xfId="0" applyFont="1" applyFill="1" applyAlignment="1" applyProtection="1">
      <alignment horizontal="left" vertical="center"/>
      <protection hidden="1"/>
    </xf>
    <xf numFmtId="0" fontId="0" fillId="0" borderId="0" xfId="0" applyAlignment="1" applyProtection="1">
      <alignment vertical="center"/>
      <protection hidden="1"/>
    </xf>
    <xf numFmtId="0" fontId="0" fillId="0" borderId="1" xfId="0" applyBorder="1" applyAlignment="1" applyProtection="1">
      <alignment vertical="center"/>
      <protection hidden="1"/>
    </xf>
    <xf numFmtId="2" fontId="6" fillId="0" borderId="1" xfId="0" applyNumberFormat="1"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5" fillId="2" borderId="0" xfId="0" applyFont="1" applyFill="1" applyAlignment="1" applyProtection="1">
      <alignment horizontal="center" vertical="center"/>
      <protection locked="0"/>
    </xf>
    <xf numFmtId="0" fontId="12" fillId="0" borderId="0" xfId="0" applyFont="1" applyAlignment="1" applyProtection="1">
      <alignment horizontal="center" vertical="center"/>
      <protection hidden="1"/>
    </xf>
    <xf numFmtId="0" fontId="13" fillId="0" borderId="0" xfId="0"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Border="1" applyAlignment="1" applyProtection="1">
      <alignment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12" fillId="0" borderId="0" xfId="0" applyFont="1" applyFill="1" applyAlignment="1" applyProtection="1">
      <alignment horizontal="left" vertical="center"/>
      <protection hidden="1"/>
    </xf>
    <xf numFmtId="0" fontId="13"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Border="1" applyAlignment="1" applyProtection="1">
      <alignment horizontal="center" vertical="center" wrapText="1"/>
      <protection hidden="1"/>
    </xf>
    <xf numFmtId="0" fontId="16" fillId="0" borderId="0" xfId="0" applyFont="1" applyAlignment="1" applyProtection="1">
      <alignment vertical="center"/>
      <protection hidden="1"/>
    </xf>
    <xf numFmtId="0" fontId="11" fillId="0" borderId="0" xfId="0" applyFont="1" applyAlignment="1" applyProtection="1">
      <alignment vertical="center"/>
      <protection hidden="1"/>
    </xf>
    <xf numFmtId="0" fontId="0" fillId="0" borderId="0" xfId="0" applyFont="1" applyAlignment="1" applyProtection="1" quotePrefix="1">
      <alignment horizontal="left" vertical="center"/>
      <protection hidden="1"/>
    </xf>
    <xf numFmtId="0" fontId="11" fillId="0" borderId="3" xfId="0" applyFont="1" applyFill="1" applyBorder="1" applyAlignment="1" applyProtection="1">
      <alignment horizontal="left"/>
      <protection hidden="1"/>
    </xf>
    <xf numFmtId="0" fontId="0" fillId="0" borderId="3" xfId="0" applyFill="1" applyBorder="1" applyAlignment="1">
      <alignment vertical="center"/>
    </xf>
    <xf numFmtId="0" fontId="16" fillId="0" borderId="3" xfId="0" applyFont="1" applyFill="1" applyBorder="1" applyAlignment="1" applyProtection="1">
      <alignment vertical="center"/>
      <protection hidden="1"/>
    </xf>
    <xf numFmtId="0" fontId="0" fillId="0" borderId="3" xfId="0" applyFont="1" applyFill="1" applyBorder="1" applyAlignment="1" applyProtection="1">
      <alignment horizontal="center" vertical="top" wrapText="1"/>
      <protection hidden="1"/>
    </xf>
    <xf numFmtId="0" fontId="11" fillId="0" borderId="4" xfId="0" applyFont="1" applyFill="1" applyBorder="1" applyAlignment="1" applyProtection="1">
      <alignment horizontal="left" vertical="center"/>
      <protection hidden="1"/>
    </xf>
    <xf numFmtId="0" fontId="0" fillId="0" borderId="4" xfId="0" applyFill="1" applyBorder="1" applyAlignment="1">
      <alignment vertical="center"/>
    </xf>
    <xf numFmtId="0" fontId="18" fillId="0" borderId="4" xfId="0" applyFont="1" applyFill="1" applyBorder="1" applyAlignment="1" applyProtection="1">
      <alignment vertical="center"/>
      <protection locked="0"/>
    </xf>
    <xf numFmtId="0" fontId="0" fillId="0" borderId="4" xfId="0" applyFont="1" applyFill="1" applyBorder="1" applyAlignment="1" applyProtection="1">
      <alignment horizontal="center" vertical="top" wrapText="1"/>
      <protection hidden="1"/>
    </xf>
    <xf numFmtId="0" fontId="0" fillId="0" borderId="4" xfId="0" applyFont="1" applyFill="1" applyBorder="1" applyAlignment="1" applyProtection="1">
      <alignment horizontal="left" vertical="top" wrapText="1"/>
      <protection hidden="1"/>
    </xf>
    <xf numFmtId="0" fontId="11" fillId="0" borderId="4" xfId="0" applyFont="1" applyFill="1" applyBorder="1" applyAlignment="1" applyProtection="1">
      <alignment horizontal="right" vertical="center"/>
      <protection hidden="1"/>
    </xf>
    <xf numFmtId="16" fontId="5" fillId="0" borderId="0" xfId="0" applyNumberFormat="1" applyFont="1" applyAlignment="1" applyProtection="1" quotePrefix="1">
      <alignment horizontal="center" vertical="center"/>
      <protection hidden="1"/>
    </xf>
    <xf numFmtId="0" fontId="11" fillId="0" borderId="5" xfId="0" applyFont="1" applyFill="1" applyBorder="1" applyAlignment="1" applyProtection="1">
      <alignment horizontal="left" vertical="center"/>
      <protection hidden="1"/>
    </xf>
    <xf numFmtId="0" fontId="0" fillId="0" borderId="5" xfId="0" applyFill="1" applyBorder="1" applyAlignment="1">
      <alignment vertical="center"/>
    </xf>
    <xf numFmtId="0" fontId="18" fillId="0" borderId="5" xfId="0" applyFont="1" applyFill="1" applyBorder="1" applyAlignment="1" applyProtection="1">
      <alignment vertical="center"/>
      <protection locked="0"/>
    </xf>
    <xf numFmtId="0" fontId="0" fillId="0" borderId="5" xfId="0" applyFont="1" applyFill="1" applyBorder="1" applyAlignment="1" applyProtection="1">
      <alignment horizontal="center" vertical="top" wrapText="1"/>
      <protection hidden="1"/>
    </xf>
    <xf numFmtId="0" fontId="0" fillId="0" borderId="5" xfId="0" applyFont="1" applyFill="1" applyBorder="1" applyAlignment="1" applyProtection="1">
      <alignment horizontal="left" vertical="top" wrapText="1"/>
      <protection hidden="1"/>
    </xf>
    <xf numFmtId="0" fontId="11" fillId="0" borderId="5" xfId="0" applyFont="1" applyFill="1" applyBorder="1" applyAlignment="1" applyProtection="1">
      <alignment horizontal="right" vertical="center"/>
      <protection hidden="1"/>
    </xf>
    <xf numFmtId="0" fontId="5" fillId="0" borderId="0" xfId="0" applyFont="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0" fillId="0" borderId="6" xfId="0" applyFont="1" applyFill="1" applyBorder="1" applyAlignment="1" applyProtection="1">
      <alignment horizontal="left" vertical="top" wrapText="1"/>
      <protection hidden="1"/>
    </xf>
    <xf numFmtId="0" fontId="11" fillId="0" borderId="7" xfId="0" applyFont="1" applyFill="1" applyBorder="1" applyAlignment="1" applyProtection="1">
      <alignment horizontal="right"/>
      <protection hidden="1"/>
    </xf>
    <xf numFmtId="0" fontId="11" fillId="0" borderId="1" xfId="0" applyFont="1" applyFill="1" applyBorder="1" applyAlignment="1" applyProtection="1">
      <alignment horizontal="center" vertical="center"/>
      <protection hidden="1"/>
    </xf>
    <xf numFmtId="0" fontId="5" fillId="0" borderId="0" xfId="0" applyFont="1" applyAlignment="1" applyProtection="1" quotePrefix="1">
      <alignment horizontal="center" vertical="center"/>
      <protection hidden="1"/>
    </xf>
    <xf numFmtId="201" fontId="12" fillId="0" borderId="0" xfId="0" applyNumberFormat="1" applyFont="1" applyAlignment="1" applyProtection="1">
      <alignment horizontal="right" vertical="top"/>
      <protection hidden="1"/>
    </xf>
    <xf numFmtId="0" fontId="0" fillId="0" borderId="0" xfId="0" applyFont="1" applyAlignment="1" applyProtection="1">
      <alignment vertical="top"/>
      <protection hidden="1"/>
    </xf>
    <xf numFmtId="0" fontId="0" fillId="0" borderId="0" xfId="0" applyFont="1" applyAlignment="1" applyProtection="1">
      <alignment horizontal="justify" vertical="center"/>
      <protection hidden="1"/>
    </xf>
    <xf numFmtId="0" fontId="21" fillId="0" borderId="0" xfId="0" applyFont="1" applyAlignment="1" applyProtection="1">
      <alignment vertical="center"/>
      <protection hidden="1"/>
    </xf>
    <xf numFmtId="201" fontId="0" fillId="0" borderId="0" xfId="0" applyNumberFormat="1" applyFont="1" applyAlignment="1" applyProtection="1">
      <alignment horizontal="right" vertical="top" wrapText="1"/>
      <protection hidden="1"/>
    </xf>
    <xf numFmtId="0" fontId="0" fillId="0" borderId="0" xfId="0" applyFont="1" applyAlignment="1" applyProtection="1">
      <alignment horizontal="left" vertical="center" wrapText="1"/>
      <protection hidden="1"/>
    </xf>
    <xf numFmtId="201" fontId="0" fillId="0" borderId="0" xfId="0" applyNumberFormat="1" applyFont="1" applyAlignment="1" applyProtection="1">
      <alignment vertical="center" wrapText="1"/>
      <protection hidden="1"/>
    </xf>
    <xf numFmtId="0" fontId="23" fillId="0" borderId="0" xfId="0" applyFont="1" applyAlignment="1" applyProtection="1">
      <alignment vertical="center"/>
      <protection hidden="1"/>
    </xf>
    <xf numFmtId="0" fontId="24" fillId="0" borderId="0" xfId="0" applyFont="1" applyAlignment="1" applyProtection="1">
      <alignment vertical="center"/>
      <protection hidden="1"/>
    </xf>
    <xf numFmtId="186" fontId="0" fillId="0" borderId="1" xfId="0" applyNumberFormat="1" applyBorder="1" applyAlignment="1" applyProtection="1">
      <alignment vertical="center"/>
      <protection hidden="1"/>
    </xf>
    <xf numFmtId="189" fontId="0" fillId="0" borderId="1" xfId="0" applyNumberFormat="1" applyFont="1" applyFill="1"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1" xfId="0" applyNumberFormat="1" applyBorder="1" applyAlignment="1" applyProtection="1">
      <alignment horizontal="left" vertical="center"/>
      <protection hidden="1"/>
    </xf>
    <xf numFmtId="0" fontId="5" fillId="0" borderId="0" xfId="0" applyFont="1" applyFill="1" applyAlignment="1" applyProtection="1">
      <alignment vertical="center"/>
      <protection hidden="1"/>
    </xf>
    <xf numFmtId="0" fontId="0" fillId="0" borderId="0" xfId="0" applyFill="1" applyAlignment="1" applyProtection="1">
      <alignment vertical="center"/>
      <protection hidden="1"/>
    </xf>
    <xf numFmtId="2" fontId="9" fillId="2" borderId="1" xfId="0" applyNumberFormat="1" applyFont="1" applyFill="1" applyBorder="1" applyAlignment="1" applyProtection="1">
      <alignment vertical="center"/>
      <protection locked="0"/>
    </xf>
    <xf numFmtId="186" fontId="9" fillId="2" borderId="8" xfId="0" applyNumberFormat="1" applyFont="1" applyFill="1" applyBorder="1" applyAlignment="1" applyProtection="1">
      <alignment horizontal="right" vertical="center"/>
      <protection locked="0"/>
    </xf>
    <xf numFmtId="0" fontId="25" fillId="0" borderId="0" xfId="0" applyFont="1" applyAlignment="1" applyProtection="1">
      <alignment vertical="center"/>
      <protection hidden="1"/>
    </xf>
    <xf numFmtId="0" fontId="13" fillId="0" borderId="1" xfId="0" applyFont="1" applyBorder="1" applyAlignment="1" applyProtection="1">
      <alignment vertical="center"/>
      <protection hidden="1"/>
    </xf>
    <xf numFmtId="1" fontId="15" fillId="3" borderId="1" xfId="0" applyNumberFormat="1" applyFont="1" applyFill="1" applyBorder="1" applyAlignment="1" applyProtection="1">
      <alignment horizontal="center" vertical="center"/>
      <protection hidden="1"/>
    </xf>
    <xf numFmtId="0" fontId="32" fillId="0" borderId="0" xfId="0" applyFont="1" applyAlignment="1" applyProtection="1">
      <alignment vertical="center"/>
      <protection hidden="1"/>
    </xf>
    <xf numFmtId="0" fontId="13" fillId="0" borderId="9" xfId="0" applyFont="1" applyBorder="1" applyAlignment="1" applyProtection="1">
      <alignment vertical="center"/>
      <protection hidden="1"/>
    </xf>
    <xf numFmtId="1" fontId="15" fillId="3" borderId="1" xfId="0" applyNumberFormat="1" applyFont="1" applyFill="1" applyBorder="1" applyAlignment="1" applyProtection="1">
      <alignment vertical="center"/>
      <protection hidden="1"/>
    </xf>
    <xf numFmtId="2" fontId="15" fillId="0" borderId="1" xfId="0" applyNumberFormat="1" applyFont="1" applyBorder="1" applyAlignment="1" applyProtection="1">
      <alignment vertical="center"/>
      <protection hidden="1"/>
    </xf>
    <xf numFmtId="0" fontId="13" fillId="0" borderId="2" xfId="0" applyFont="1" applyBorder="1" applyAlignment="1" applyProtection="1">
      <alignment vertical="center"/>
      <protection hidden="1"/>
    </xf>
    <xf numFmtId="0" fontId="28" fillId="0" borderId="1" xfId="0" applyFont="1" applyBorder="1" applyAlignment="1" applyProtection="1">
      <alignment vertical="center"/>
      <protection hidden="1"/>
    </xf>
    <xf numFmtId="187" fontId="15" fillId="3" borderId="1" xfId="0" applyNumberFormat="1" applyFont="1" applyFill="1" applyBorder="1" applyAlignment="1" applyProtection="1">
      <alignment vertical="center"/>
      <protection hidden="1"/>
    </xf>
    <xf numFmtId="186" fontId="15" fillId="3" borderId="1" xfId="0" applyNumberFormat="1" applyFont="1" applyFill="1" applyBorder="1" applyAlignment="1" applyProtection="1">
      <alignment vertical="center"/>
      <protection hidden="1"/>
    </xf>
    <xf numFmtId="0" fontId="15" fillId="0" borderId="1" xfId="0" applyFont="1" applyBorder="1" applyAlignment="1" applyProtection="1">
      <alignment vertical="center"/>
      <protection hidden="1"/>
    </xf>
    <xf numFmtId="1" fontId="14" fillId="4" borderId="1" xfId="0" applyNumberFormat="1" applyFont="1" applyFill="1" applyBorder="1" applyAlignment="1" applyProtection="1">
      <alignment vertical="center"/>
      <protection hidden="1"/>
    </xf>
    <xf numFmtId="0" fontId="25" fillId="0" borderId="9" xfId="0" applyFont="1" applyBorder="1" applyAlignment="1" applyProtection="1">
      <alignment vertical="center"/>
      <protection hidden="1"/>
    </xf>
    <xf numFmtId="2" fontId="15" fillId="3" borderId="1" xfId="0" applyNumberFormat="1" applyFont="1" applyFill="1" applyBorder="1" applyAlignment="1" applyProtection="1">
      <alignment vertical="center"/>
      <protection hidden="1"/>
    </xf>
    <xf numFmtId="0" fontId="25" fillId="0" borderId="0" xfId="0" applyFont="1" applyAlignment="1" applyProtection="1">
      <alignment vertical="center"/>
      <protection hidden="1"/>
    </xf>
    <xf numFmtId="0" fontId="30" fillId="5" borderId="1" xfId="0" applyFont="1" applyFill="1" applyBorder="1" applyAlignment="1" applyProtection="1">
      <alignment horizontal="right" vertical="center"/>
      <protection locked="0"/>
    </xf>
    <xf numFmtId="0" fontId="30" fillId="5" borderId="1" xfId="0" applyFont="1" applyFill="1" applyBorder="1" applyAlignment="1" applyProtection="1">
      <alignment vertical="center"/>
      <protection locked="0"/>
    </xf>
    <xf numFmtId="0" fontId="0" fillId="0" borderId="0" xfId="0" applyFont="1" applyAlignment="1" applyProtection="1">
      <alignment horizontal="center" vertical="center"/>
      <protection hidden="1"/>
    </xf>
    <xf numFmtId="0" fontId="0" fillId="0" borderId="0" xfId="0" applyFont="1" applyFill="1" applyAlignment="1" applyProtection="1">
      <alignment horizontal="right" vertical="center"/>
      <protection hidden="1"/>
    </xf>
    <xf numFmtId="0" fontId="0" fillId="0" borderId="0" xfId="0" applyAlignment="1" applyProtection="1">
      <alignment horizontal="center" vertical="center"/>
      <protection hidden="1"/>
    </xf>
    <xf numFmtId="0" fontId="23" fillId="0" borderId="0" xfId="18" applyFont="1" applyAlignment="1" applyProtection="1">
      <alignment vertical="center"/>
      <protection hidden="1"/>
    </xf>
    <xf numFmtId="3" fontId="6" fillId="0" borderId="1"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horizontal="right" vertical="center"/>
      <protection hidden="1"/>
    </xf>
    <xf numFmtId="3" fontId="6" fillId="0" borderId="1" xfId="0" applyNumberFormat="1" applyFont="1" applyFill="1" applyBorder="1" applyAlignment="1" applyProtection="1">
      <alignment horizontal="right" vertical="center"/>
      <protection hidden="1"/>
    </xf>
    <xf numFmtId="16" fontId="0" fillId="0" borderId="0" xfId="0" applyNumberFormat="1" applyFont="1" applyFill="1" applyAlignment="1" applyProtection="1">
      <alignment horizontal="left" vertical="center"/>
      <protection hidden="1"/>
    </xf>
    <xf numFmtId="0" fontId="0" fillId="0" borderId="0" xfId="0" applyFont="1" applyFill="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9"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186" fontId="6" fillId="0" borderId="1" xfId="0" applyNumberFormat="1" applyFont="1" applyFill="1" applyBorder="1" applyAlignment="1" applyProtection="1">
      <alignment horizontal="center" vertical="center"/>
      <protection hidden="1"/>
    </xf>
    <xf numFmtId="186" fontId="6" fillId="0" borderId="2" xfId="0" applyNumberFormat="1" applyFont="1" applyFill="1" applyBorder="1" applyAlignment="1" applyProtection="1">
      <alignment horizontal="center" vertical="center"/>
      <protection hidden="1"/>
    </xf>
    <xf numFmtId="190" fontId="6" fillId="0" borderId="1" xfId="0" applyNumberFormat="1"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right" vertical="center"/>
      <protection hidden="1"/>
    </xf>
    <xf numFmtId="0" fontId="0" fillId="0" borderId="0" xfId="0" applyAlignment="1" applyProtection="1">
      <alignment vertical="center" textRotation="90"/>
      <protection hidden="1"/>
    </xf>
    <xf numFmtId="1" fontId="0" fillId="0" borderId="0" xfId="0" applyNumberFormat="1" applyFont="1" applyFill="1" applyBorder="1" applyAlignment="1" applyProtection="1">
      <alignment horizontal="right" vertical="center"/>
      <protection hidden="1"/>
    </xf>
    <xf numFmtId="0" fontId="0" fillId="0" borderId="10" xfId="0" applyFont="1" applyFill="1" applyBorder="1" applyAlignment="1" applyProtection="1">
      <alignment horizontal="center" vertical="center"/>
      <protection hidden="1"/>
    </xf>
    <xf numFmtId="195" fontId="11" fillId="4" borderId="8" xfId="0" applyNumberFormat="1" applyFont="1" applyFill="1" applyBorder="1" applyAlignment="1" applyProtection="1">
      <alignment horizontal="center" vertical="center"/>
      <protection hidden="1"/>
    </xf>
    <xf numFmtId="3" fontId="0" fillId="4" borderId="8" xfId="0" applyNumberFormat="1" applyFont="1" applyFill="1" applyBorder="1" applyAlignment="1" applyProtection="1">
      <alignment horizontal="right" vertical="center"/>
      <protection hidden="1"/>
    </xf>
    <xf numFmtId="186" fontId="0" fillId="4" borderId="8" xfId="0" applyNumberFormat="1" applyFont="1" applyFill="1" applyBorder="1" applyAlignment="1" applyProtection="1">
      <alignment horizontal="right" vertical="center"/>
      <protection hidden="1"/>
    </xf>
    <xf numFmtId="1" fontId="0" fillId="4" borderId="8" xfId="0" applyNumberFormat="1" applyFont="1" applyFill="1" applyBorder="1" applyAlignment="1" applyProtection="1">
      <alignment horizontal="center" vertical="center"/>
      <protection hidden="1"/>
    </xf>
    <xf numFmtId="186" fontId="0" fillId="4" borderId="8" xfId="0" applyNumberFormat="1" applyFont="1" applyFill="1" applyBorder="1" applyAlignment="1" applyProtection="1">
      <alignment horizontal="center" vertical="center"/>
      <protection hidden="1"/>
    </xf>
    <xf numFmtId="1" fontId="12" fillId="4" borderId="8" xfId="0" applyNumberFormat="1" applyFont="1" applyFill="1" applyBorder="1" applyAlignment="1" applyProtection="1">
      <alignment horizontal="center" vertical="center"/>
      <protection hidden="1"/>
    </xf>
    <xf numFmtId="186" fontId="12" fillId="4" borderId="8" xfId="0" applyNumberFormat="1" applyFont="1" applyFill="1" applyBorder="1" applyAlignment="1" applyProtection="1">
      <alignment horizontal="center" vertical="center"/>
      <protection hidden="1"/>
    </xf>
    <xf numFmtId="3" fontId="11" fillId="4" borderId="8" xfId="0" applyNumberFormat="1" applyFont="1" applyFill="1" applyBorder="1" applyAlignment="1" applyProtection="1">
      <alignment horizontal="center" vertical="center"/>
      <protection hidden="1"/>
    </xf>
    <xf numFmtId="3" fontId="12" fillId="4" borderId="8" xfId="0" applyNumberFormat="1" applyFont="1" applyFill="1" applyBorder="1" applyAlignment="1" applyProtection="1">
      <alignment horizontal="center" vertical="center"/>
      <protection hidden="1"/>
    </xf>
    <xf numFmtId="195" fontId="11" fillId="0" borderId="8" xfId="0" applyNumberFormat="1" applyFont="1" applyFill="1" applyBorder="1" applyAlignment="1" applyProtection="1">
      <alignment horizontal="center" vertical="center"/>
      <protection hidden="1"/>
    </xf>
    <xf numFmtId="3" fontId="0" fillId="0" borderId="8" xfId="0" applyNumberFormat="1" applyFont="1" applyFill="1" applyBorder="1" applyAlignment="1" applyProtection="1">
      <alignment horizontal="right" vertical="center"/>
      <protection hidden="1"/>
    </xf>
    <xf numFmtId="186" fontId="0" fillId="0" borderId="8" xfId="0" applyNumberFormat="1" applyFont="1" applyFill="1" applyBorder="1" applyAlignment="1" applyProtection="1">
      <alignment horizontal="right" vertical="center"/>
      <protection hidden="1"/>
    </xf>
    <xf numFmtId="1" fontId="0" fillId="0" borderId="8" xfId="0" applyNumberFormat="1" applyFont="1" applyFill="1" applyBorder="1" applyAlignment="1" applyProtection="1">
      <alignment horizontal="center" vertical="center"/>
      <protection hidden="1"/>
    </xf>
    <xf numFmtId="186" fontId="0" fillId="0" borderId="8" xfId="0" applyNumberFormat="1" applyFont="1" applyFill="1" applyBorder="1" applyAlignment="1" applyProtection="1">
      <alignment horizontal="center" vertical="center"/>
      <protection hidden="1"/>
    </xf>
    <xf numFmtId="1" fontId="12" fillId="0" borderId="8" xfId="0" applyNumberFormat="1" applyFont="1" applyFill="1" applyBorder="1" applyAlignment="1" applyProtection="1">
      <alignment horizontal="center" vertical="center"/>
      <protection hidden="1"/>
    </xf>
    <xf numFmtId="186" fontId="12" fillId="0" borderId="8" xfId="0" applyNumberFormat="1" applyFont="1" applyFill="1" applyBorder="1" applyAlignment="1" applyProtection="1">
      <alignment horizontal="center" vertical="center"/>
      <protection hidden="1"/>
    </xf>
    <xf numFmtId="3" fontId="11" fillId="0" borderId="8" xfId="0" applyNumberFormat="1" applyFont="1" applyFill="1" applyBorder="1" applyAlignment="1" applyProtection="1">
      <alignment horizontal="center" vertical="center"/>
      <protection hidden="1"/>
    </xf>
    <xf numFmtId="3" fontId="12" fillId="0" borderId="8" xfId="0" applyNumberFormat="1"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wrapText="1"/>
      <protection hidden="1"/>
    </xf>
    <xf numFmtId="189" fontId="0" fillId="0" borderId="11" xfId="0" applyNumberFormat="1"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protection hidden="1"/>
    </xf>
    <xf numFmtId="0" fontId="33" fillId="0" borderId="10" xfId="0" applyFont="1" applyFill="1" applyBorder="1" applyAlignment="1" applyProtection="1">
      <alignment horizontal="center" vertical="center"/>
      <protection hidden="1"/>
    </xf>
    <xf numFmtId="3" fontId="9" fillId="2" borderId="1" xfId="0" applyNumberFormat="1" applyFont="1" applyFill="1" applyBorder="1" applyAlignment="1" applyProtection="1">
      <alignment horizontal="right" vertical="center"/>
      <protection locked="0"/>
    </xf>
    <xf numFmtId="190" fontId="9" fillId="2" borderId="1" xfId="0" applyNumberFormat="1" applyFont="1" applyFill="1" applyBorder="1" applyAlignment="1" applyProtection="1">
      <alignment horizontal="right" vertical="center"/>
      <protection locked="0"/>
    </xf>
    <xf numFmtId="0" fontId="0" fillId="0" borderId="0" xfId="0" applyFont="1" applyBorder="1" applyAlignment="1" applyProtection="1">
      <alignment horizontal="left" vertical="center"/>
      <protection hidden="1"/>
    </xf>
    <xf numFmtId="3" fontId="6" fillId="0" borderId="0" xfId="0" applyNumberFormat="1" applyFont="1" applyFill="1" applyBorder="1" applyAlignment="1" applyProtection="1">
      <alignment vertical="center"/>
      <protection hidden="1"/>
    </xf>
    <xf numFmtId="0" fontId="0" fillId="0" borderId="0" xfId="0" applyBorder="1" applyAlignment="1" applyProtection="1">
      <alignment horizontal="left" vertical="center"/>
      <protection hidden="1"/>
    </xf>
    <xf numFmtId="186" fontId="6" fillId="0" borderId="1" xfId="0" applyNumberFormat="1" applyFont="1" applyBorder="1" applyAlignment="1" applyProtection="1">
      <alignment vertical="center"/>
      <protection hidden="1"/>
    </xf>
    <xf numFmtId="186" fontId="0" fillId="0" borderId="0" xfId="0" applyNumberFormat="1" applyFont="1" applyAlignment="1" applyProtection="1">
      <alignment vertical="center"/>
      <protection hidden="1"/>
    </xf>
    <xf numFmtId="3" fontId="11" fillId="0" borderId="1" xfId="0" applyNumberFormat="1" applyFont="1" applyFill="1" applyBorder="1" applyAlignment="1" applyProtection="1">
      <alignment vertical="center"/>
      <protection hidden="1"/>
    </xf>
    <xf numFmtId="1" fontId="0" fillId="0" borderId="0" xfId="0" applyNumberFormat="1" applyAlignment="1" applyProtection="1">
      <alignment vertical="center"/>
      <protection hidden="1"/>
    </xf>
    <xf numFmtId="0" fontId="0" fillId="0" borderId="0" xfId="0" applyFill="1" applyAlignment="1" applyProtection="1">
      <alignment vertical="center" textRotation="90"/>
      <protection hidden="1"/>
    </xf>
    <xf numFmtId="190" fontId="12" fillId="4" borderId="8" xfId="0" applyNumberFormat="1" applyFont="1" applyFill="1" applyBorder="1" applyAlignment="1" applyProtection="1">
      <alignment horizontal="center" vertical="center"/>
      <protection hidden="1"/>
    </xf>
    <xf numFmtId="190" fontId="12" fillId="0" borderId="8" xfId="0" applyNumberFormat="1" applyFont="1" applyFill="1" applyBorder="1" applyAlignment="1" applyProtection="1">
      <alignment horizontal="center" vertical="center"/>
      <protection hidden="1"/>
    </xf>
    <xf numFmtId="187" fontId="14" fillId="4" borderId="1" xfId="0" applyNumberFormat="1" applyFont="1" applyFill="1" applyBorder="1" applyAlignment="1" applyProtection="1">
      <alignment vertical="center"/>
      <protection hidden="1"/>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25" fillId="0" borderId="0" xfId="0" applyFont="1" applyBorder="1" applyAlignment="1" applyProtection="1">
      <alignment vertical="center"/>
      <protection hidden="1"/>
    </xf>
    <xf numFmtId="0" fontId="0" fillId="0" borderId="0" xfId="0" applyBorder="1" applyAlignment="1">
      <alignment vertical="center"/>
    </xf>
    <xf numFmtId="0" fontId="36" fillId="0" borderId="0" xfId="0" applyFont="1" applyFill="1" applyBorder="1" applyAlignment="1">
      <alignment horizontal="center" vertical="center" wrapText="1"/>
    </xf>
    <xf numFmtId="0" fontId="13" fillId="0" borderId="0" xfId="0" applyFont="1" applyFill="1" applyBorder="1" applyAlignment="1" applyProtection="1">
      <alignment vertical="center"/>
      <protection hidden="1"/>
    </xf>
    <xf numFmtId="0" fontId="15" fillId="0" borderId="1" xfId="0" applyFont="1" applyFill="1" applyBorder="1" applyAlignment="1" applyProtection="1">
      <alignment vertical="center"/>
      <protection hidden="1"/>
    </xf>
    <xf numFmtId="0" fontId="15" fillId="3" borderId="1" xfId="0" applyFont="1" applyFill="1" applyBorder="1" applyAlignment="1" applyProtection="1">
      <alignment vertical="center"/>
      <protection locked="0"/>
    </xf>
    <xf numFmtId="2" fontId="13" fillId="0" borderId="0" xfId="0" applyNumberFormat="1" applyFont="1" applyAlignment="1" applyProtection="1">
      <alignment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vertical="center" wrapText="1"/>
      <protection hidden="1"/>
    </xf>
    <xf numFmtId="186" fontId="14" fillId="3" borderId="1" xfId="0" applyNumberFormat="1" applyFont="1" applyFill="1" applyBorder="1" applyAlignment="1" applyProtection="1">
      <alignment vertical="center"/>
      <protection hidden="1"/>
    </xf>
    <xf numFmtId="187" fontId="14" fillId="3" borderId="1" xfId="0" applyNumberFormat="1" applyFont="1" applyFill="1" applyBorder="1" applyAlignment="1" applyProtection="1">
      <alignment vertical="center"/>
      <protection hidden="1"/>
    </xf>
    <xf numFmtId="0" fontId="14" fillId="0" borderId="1" xfId="0" applyFont="1" applyBorder="1" applyAlignment="1" applyProtection="1">
      <alignment vertical="center"/>
      <protection hidden="1"/>
    </xf>
    <xf numFmtId="0" fontId="15" fillId="0" borderId="1" xfId="0" applyFont="1" applyFill="1" applyBorder="1" applyAlignment="1" applyProtection="1">
      <alignment vertical="center"/>
      <protection locked="0"/>
    </xf>
    <xf numFmtId="1" fontId="15" fillId="0" borderId="0" xfId="0" applyNumberFormat="1" applyFont="1" applyFill="1" applyBorder="1" applyAlignment="1" applyProtection="1">
      <alignment vertic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horizontal="right" vertical="center"/>
      <protection hidden="1"/>
    </xf>
    <xf numFmtId="0" fontId="11" fillId="0" borderId="0" xfId="0" applyFont="1" applyFill="1" applyAlignment="1" applyProtection="1">
      <alignment horizontal="center" vertical="center"/>
      <protection hidden="1"/>
    </xf>
    <xf numFmtId="2" fontId="9" fillId="0" borderId="1" xfId="0" applyNumberFormat="1" applyFont="1" applyFill="1" applyBorder="1" applyAlignment="1" applyProtection="1">
      <alignment vertical="center"/>
      <protection hidden="1"/>
    </xf>
    <xf numFmtId="0" fontId="30" fillId="5" borderId="1" xfId="0" applyFont="1" applyFill="1" applyBorder="1" applyAlignment="1" applyProtection="1">
      <alignment horizontal="center" vertical="center"/>
      <protection locked="0"/>
    </xf>
    <xf numFmtId="0" fontId="0" fillId="0" borderId="0" xfId="0" applyAlignment="1">
      <alignment vertical="center"/>
    </xf>
    <xf numFmtId="190" fontId="33" fillId="7" borderId="1"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hidden="1"/>
    </xf>
    <xf numFmtId="0" fontId="0" fillId="0" borderId="13" xfId="0" applyFont="1" applyBorder="1" applyAlignment="1" applyProtection="1">
      <alignment horizontal="left" vertical="center" wrapText="1"/>
      <protection hidden="1"/>
    </xf>
    <xf numFmtId="0" fontId="0" fillId="0" borderId="14" xfId="0" applyFont="1" applyBorder="1" applyAlignment="1" applyProtection="1">
      <alignment horizontal="left" vertical="center" wrapText="1"/>
      <protection hidden="1"/>
    </xf>
    <xf numFmtId="0" fontId="0" fillId="0" borderId="15" xfId="0" applyFont="1" applyBorder="1" applyAlignment="1" applyProtection="1">
      <alignment horizontal="left" vertical="center" wrapText="1"/>
      <protection hidden="1"/>
    </xf>
    <xf numFmtId="0" fontId="0" fillId="0" borderId="16" xfId="0" applyFont="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hidden="1"/>
    </xf>
    <xf numFmtId="0" fontId="11" fillId="4" borderId="0" xfId="0" applyFont="1" applyFill="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19" xfId="0" applyFont="1" applyBorder="1" applyAlignment="1" applyProtection="1">
      <alignment horizontal="left" vertical="center" wrapText="1"/>
      <protection hidden="1"/>
    </xf>
    <xf numFmtId="0" fontId="18" fillId="3" borderId="20"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0" fontId="19" fillId="8" borderId="23"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protection hidden="1"/>
    </xf>
    <xf numFmtId="0" fontId="0" fillId="0" borderId="13"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0" fillId="0" borderId="0" xfId="0" applyFont="1" applyAlignment="1" applyProtection="1">
      <alignment horizontal="left" vertical="top" wrapText="1"/>
      <protection hidden="1"/>
    </xf>
    <xf numFmtId="16" fontId="0" fillId="0" borderId="0" xfId="0" applyNumberFormat="1" applyFont="1" applyAlignment="1" applyProtection="1" quotePrefix="1">
      <alignment horizontal="left" vertical="center"/>
      <protection hidden="1"/>
    </xf>
    <xf numFmtId="16" fontId="0" fillId="0" borderId="0" xfId="0" applyNumberFormat="1" applyFont="1" applyAlignment="1" applyProtection="1">
      <alignment horizontal="left" vertical="center"/>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horizontal="justify" vertical="top" wrapText="1"/>
      <protection hidden="1"/>
    </xf>
    <xf numFmtId="0" fontId="5" fillId="2" borderId="0" xfId="0" applyFont="1" applyFill="1" applyAlignment="1" applyProtection="1">
      <alignment horizontal="left" vertical="center"/>
      <protection locked="0"/>
    </xf>
    <xf numFmtId="1" fontId="6" fillId="0" borderId="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30" fillId="8" borderId="0" xfId="0" applyFont="1" applyFill="1" applyAlignment="1" applyProtection="1">
      <alignment horizontal="left" vertical="center"/>
      <protection locked="0"/>
    </xf>
    <xf numFmtId="0" fontId="13" fillId="5" borderId="0" xfId="0" applyFont="1" applyFill="1" applyAlignment="1" applyProtection="1">
      <alignment horizontal="left" vertical="center"/>
      <protection locked="0"/>
    </xf>
    <xf numFmtId="0" fontId="11" fillId="0" borderId="10" xfId="0" applyFont="1" applyFill="1" applyBorder="1" applyAlignment="1" applyProtection="1">
      <alignment horizontal="center" vertical="center"/>
      <protection hidden="1"/>
    </xf>
    <xf numFmtId="0" fontId="11" fillId="0" borderId="11" xfId="0" applyFont="1" applyFill="1" applyBorder="1" applyAlignment="1" applyProtection="1">
      <alignment horizontal="center" vertical="center"/>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78"/>
  <sheetViews>
    <sheetView showGridLines="0" showRowColHeaders="0" workbookViewId="0" topLeftCell="A1">
      <selection activeCell="H12" sqref="H12:H14"/>
    </sheetView>
  </sheetViews>
  <sheetFormatPr defaultColWidth="11.5546875" defaultRowHeight="15"/>
  <cols>
    <col min="1" max="1" width="3.77734375" style="37" customWidth="1"/>
    <col min="2" max="19" width="7.77734375" style="37" customWidth="1"/>
    <col min="20" max="20" width="3.88671875" style="37" customWidth="1"/>
    <col min="21" max="24" width="7.77734375" style="37" customWidth="1"/>
    <col min="25" max="34" width="11.5546875" style="37" customWidth="1"/>
    <col min="35" max="180" width="5.6640625" style="37" customWidth="1"/>
    <col min="181" max="16384" width="10.88671875" style="37" customWidth="1"/>
  </cols>
  <sheetData>
    <row r="1" spans="1:21" ht="19.5" customHeight="1">
      <c r="A1" s="4"/>
      <c r="B1" s="44" t="str">
        <f>IF($H$12&gt;2.5," A T T E N N T I O N :",IF($H$12&gt;1.5,"A C H T U N G :","D İ K K A T :"))</f>
        <v>D İ K K A T :</v>
      </c>
      <c r="C1" s="1"/>
      <c r="D1" s="1"/>
      <c r="E1" s="1"/>
      <c r="F1" s="1"/>
      <c r="G1" s="1"/>
      <c r="H1" s="1"/>
      <c r="I1" s="1"/>
      <c r="J1" s="1"/>
      <c r="K1" s="1"/>
      <c r="L1" s="43"/>
      <c r="M1" s="43"/>
      <c r="N1" s="43"/>
      <c r="O1" s="1"/>
      <c r="P1" s="4"/>
      <c r="Q1" s="4"/>
      <c r="R1" s="4"/>
      <c r="S1" s="4"/>
      <c r="T1" s="4"/>
      <c r="U1" s="43"/>
    </row>
    <row r="2" spans="1:21" ht="24.75" customHeight="1">
      <c r="A2" s="4"/>
      <c r="B2" s="189" t="str">
        <f>IF($H$12&gt;2.5,B41,IF($H$12&gt;1.5,B37,IF($H$12&gt;0.5,B33,"")))</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2" s="189"/>
      <c r="D2" s="189"/>
      <c r="E2" s="189"/>
      <c r="F2" s="189"/>
      <c r="G2" s="189"/>
      <c r="H2" s="189"/>
      <c r="I2" s="189"/>
      <c r="J2" s="189"/>
      <c r="K2" s="189"/>
      <c r="L2" s="189"/>
      <c r="M2" s="189"/>
      <c r="N2" s="189"/>
      <c r="O2" s="189"/>
      <c r="P2" s="189"/>
      <c r="Q2" s="189"/>
      <c r="R2" s="189"/>
      <c r="S2" s="4"/>
      <c r="T2" s="4"/>
      <c r="U2" s="43"/>
    </row>
    <row r="3" spans="1:21" ht="24.75" customHeight="1">
      <c r="A3" s="4"/>
      <c r="B3" s="189"/>
      <c r="C3" s="189"/>
      <c r="D3" s="189"/>
      <c r="E3" s="189"/>
      <c r="F3" s="189"/>
      <c r="G3" s="189"/>
      <c r="H3" s="189"/>
      <c r="I3" s="189"/>
      <c r="J3" s="189"/>
      <c r="K3" s="189"/>
      <c r="L3" s="189"/>
      <c r="M3" s="189"/>
      <c r="N3" s="189"/>
      <c r="O3" s="189"/>
      <c r="P3" s="189"/>
      <c r="Q3" s="189"/>
      <c r="R3" s="189"/>
      <c r="S3" s="4"/>
      <c r="T3" s="4"/>
      <c r="U3" s="43"/>
    </row>
    <row r="4" spans="1:21" ht="24.75" customHeight="1">
      <c r="A4" s="4"/>
      <c r="B4" s="189"/>
      <c r="C4" s="189"/>
      <c r="D4" s="189"/>
      <c r="E4" s="189"/>
      <c r="F4" s="189"/>
      <c r="G4" s="189"/>
      <c r="H4" s="189"/>
      <c r="I4" s="189"/>
      <c r="J4" s="189"/>
      <c r="K4" s="189"/>
      <c r="L4" s="189"/>
      <c r="M4" s="189"/>
      <c r="N4" s="189"/>
      <c r="O4" s="189"/>
      <c r="P4" s="189"/>
      <c r="Q4" s="189"/>
      <c r="R4" s="189"/>
      <c r="S4" s="4"/>
      <c r="T4" s="4"/>
      <c r="U4" s="43"/>
    </row>
    <row r="5" spans="1:21" ht="19.5" customHeight="1">
      <c r="A5" s="1"/>
      <c r="B5" s="43"/>
      <c r="C5" s="1"/>
      <c r="D5" s="1"/>
      <c r="E5" s="1"/>
      <c r="F5" s="1"/>
      <c r="G5" s="1"/>
      <c r="H5" s="1"/>
      <c r="I5" s="1"/>
      <c r="J5" s="1"/>
      <c r="K5" s="1"/>
      <c r="L5" s="1"/>
      <c r="M5" s="1"/>
      <c r="N5" s="1"/>
      <c r="O5" s="1"/>
      <c r="P5" s="1"/>
      <c r="Q5" s="4"/>
      <c r="R5" s="4"/>
      <c r="S5" s="4"/>
      <c r="T5" s="4"/>
      <c r="U5" s="43"/>
    </row>
    <row r="6" spans="1:21" ht="24.75" customHeight="1">
      <c r="A6" s="1"/>
      <c r="B6" s="189" t="str">
        <f>IF($H$12&gt;2.5,B53,IF($H$12&gt;1.5,B50,IF($H$12&gt;0.5,B47,"")))</f>
        <v>Bu programdaki her bilgiyi kaynak göstermek şartıyla her yerde kullanabilirsiniz. Bu programa verilecek değerleri (mavi kareler) ya bu sitedeki bilgilerden veya literatürden almalısınız.</v>
      </c>
      <c r="C6" s="189"/>
      <c r="D6" s="189"/>
      <c r="E6" s="189"/>
      <c r="F6" s="189"/>
      <c r="G6" s="189"/>
      <c r="H6" s="189"/>
      <c r="I6" s="189"/>
      <c r="J6" s="189"/>
      <c r="K6" s="189"/>
      <c r="L6" s="189"/>
      <c r="M6" s="189"/>
      <c r="N6" s="189"/>
      <c r="O6" s="189"/>
      <c r="P6" s="189"/>
      <c r="Q6" s="189"/>
      <c r="R6" s="189"/>
      <c r="S6" s="4"/>
      <c r="T6" s="4"/>
      <c r="U6" s="43"/>
    </row>
    <row r="7" spans="1:21" ht="24.75" customHeight="1">
      <c r="A7" s="1"/>
      <c r="B7" s="189"/>
      <c r="C7" s="189"/>
      <c r="D7" s="189"/>
      <c r="E7" s="189"/>
      <c r="F7" s="189"/>
      <c r="G7" s="189"/>
      <c r="H7" s="189"/>
      <c r="I7" s="189"/>
      <c r="J7" s="189"/>
      <c r="K7" s="189"/>
      <c r="L7" s="189"/>
      <c r="M7" s="189"/>
      <c r="N7" s="189"/>
      <c r="O7" s="189"/>
      <c r="P7" s="189"/>
      <c r="Q7" s="189"/>
      <c r="R7" s="189"/>
      <c r="S7" s="4"/>
      <c r="T7" s="4"/>
      <c r="U7" s="43"/>
    </row>
    <row r="8" spans="1:21" ht="19.5" customHeight="1">
      <c r="A8" s="1"/>
      <c r="B8" s="43"/>
      <c r="C8" s="1"/>
      <c r="D8" s="1"/>
      <c r="E8" s="1"/>
      <c r="F8" s="1"/>
      <c r="G8" s="1"/>
      <c r="H8" s="1"/>
      <c r="I8" s="1"/>
      <c r="J8" s="1"/>
      <c r="K8" s="1"/>
      <c r="L8" s="1"/>
      <c r="M8" s="1"/>
      <c r="N8" s="1"/>
      <c r="O8" s="1"/>
      <c r="P8" s="1"/>
      <c r="Q8" s="4"/>
      <c r="R8" s="4"/>
      <c r="S8" s="4"/>
      <c r="T8" s="4"/>
      <c r="U8" s="43"/>
    </row>
    <row r="9" spans="1:21" ht="24.75" customHeight="1">
      <c r="A9" s="1"/>
      <c r="B9" s="107" t="s">
        <v>68</v>
      </c>
      <c r="C9" s="1"/>
      <c r="D9" s="1"/>
      <c r="F9" s="1"/>
      <c r="G9" s="43"/>
      <c r="H9" s="43"/>
      <c r="I9" s="205" t="str">
        <f>IF($H$12&gt;2.5,"REGISTER-Nr.",IF($H$12&gt;1.5,"REGISTER-Nr.",IF($H$12&gt;0.5,"SAYFA NO.","")))</f>
        <v>SAYFA NO.</v>
      </c>
      <c r="J9" s="43"/>
      <c r="K9" s="206" t="str">
        <f>IF($H$12&gt;2.5,"TABLE of CONTENTS",IF($H$12&gt;1.5,"INHALT",IF($H$12&gt;0.5,"İÇİNDEKİLER","")))</f>
        <v>İÇİNDEKİLER</v>
      </c>
      <c r="L9" s="206"/>
      <c r="M9" s="206"/>
      <c r="N9" s="4"/>
      <c r="O9" s="4"/>
      <c r="P9" s="1"/>
      <c r="Q9" s="1"/>
      <c r="R9" s="4"/>
      <c r="S9" s="4"/>
      <c r="T9" s="4"/>
      <c r="U9" s="43"/>
    </row>
    <row r="10" spans="1:21" ht="24.75" customHeight="1">
      <c r="A10" s="1"/>
      <c r="B10" s="207" t="s">
        <v>69</v>
      </c>
      <c r="C10" s="207"/>
      <c r="D10" s="207"/>
      <c r="E10" s="207"/>
      <c r="F10" s="1"/>
      <c r="G10" s="43"/>
      <c r="H10" s="43"/>
      <c r="I10" s="205"/>
      <c r="J10" s="4"/>
      <c r="K10" s="206"/>
      <c r="L10" s="206"/>
      <c r="M10" s="206"/>
      <c r="N10" s="4"/>
      <c r="O10" s="4"/>
      <c r="P10" s="43"/>
      <c r="Q10" s="43"/>
      <c r="R10" s="4"/>
      <c r="S10" s="4"/>
      <c r="T10" s="4"/>
      <c r="U10" s="43"/>
    </row>
    <row r="11" spans="1:21" ht="24.75" customHeight="1" thickBot="1">
      <c r="A11" s="1"/>
      <c r="B11" s="45" t="s">
        <v>70</v>
      </c>
      <c r="C11" s="1"/>
      <c r="D11" s="4"/>
      <c r="F11" s="1"/>
      <c r="G11" s="43"/>
      <c r="H11" s="43"/>
      <c r="I11" s="68">
        <v>0</v>
      </c>
      <c r="J11" s="43"/>
      <c r="K11" s="22" t="str">
        <f>IF($H$12&gt;2.5,"USING OF THE PROGRAM",IF($H$12&gt;1.5,"BENÜTZUNG DES PROGRAMMES","GİRİŞ VE KULLANMA TALİMATI"))</f>
        <v>GİRİŞ VE KULLANMA TALİMATI</v>
      </c>
      <c r="L11" s="43"/>
      <c r="M11" s="43"/>
      <c r="N11" s="43"/>
      <c r="O11" s="43"/>
      <c r="P11" s="43"/>
      <c r="Q11" s="43"/>
      <c r="R11" s="4"/>
      <c r="S11" s="4"/>
      <c r="T11" s="4"/>
      <c r="U11" s="43"/>
    </row>
    <row r="12" spans="1:21" ht="24.75" customHeight="1" thickTop="1">
      <c r="A12" s="1"/>
      <c r="B12" s="46" t="s">
        <v>71</v>
      </c>
      <c r="C12" s="47"/>
      <c r="D12" s="48"/>
      <c r="E12" s="49"/>
      <c r="F12" s="65"/>
      <c r="G12" s="66"/>
      <c r="H12" s="193">
        <v>1</v>
      </c>
      <c r="I12" s="68">
        <v>1</v>
      </c>
      <c r="J12" s="43"/>
      <c r="K12" s="22" t="str">
        <f>IF($H$12&gt;2.5,"MASSIVE GIRDER",IF($H$12&gt;1.5,"KASTEN-VOLL-TRÄGER","KUTU KİRİŞ"))</f>
        <v>KUTU KİRİŞ</v>
      </c>
      <c r="L12" s="43"/>
      <c r="M12" s="43"/>
      <c r="N12" s="43"/>
      <c r="O12" s="43"/>
      <c r="P12" s="43"/>
      <c r="Q12" s="43"/>
      <c r="R12" s="4"/>
      <c r="S12" s="4"/>
      <c r="T12" s="4"/>
      <c r="U12" s="43"/>
    </row>
    <row r="13" spans="1:21" ht="24.75" customHeight="1">
      <c r="A13" s="1"/>
      <c r="B13" s="50" t="s">
        <v>72</v>
      </c>
      <c r="C13" s="51"/>
      <c r="D13" s="52"/>
      <c r="E13" s="53"/>
      <c r="F13" s="54"/>
      <c r="G13" s="55"/>
      <c r="H13" s="194"/>
      <c r="I13" s="56" t="s">
        <v>111</v>
      </c>
      <c r="J13" s="43"/>
      <c r="K13" s="22" t="str">
        <f>IF($H$12&gt;2.5,"GANTRY CRANE WITH GIRDERS ",IF($H$12&gt;1.5,"VOLL-TRÄGER KRANBRÜCKE","KUTU KİRİŞLİ VİNÇ"))</f>
        <v>KUTU KİRİŞLİ VİNÇ</v>
      </c>
      <c r="N13" s="1"/>
      <c r="O13" s="43"/>
      <c r="P13" s="1"/>
      <c r="Q13" s="43"/>
      <c r="R13" s="1"/>
      <c r="S13" s="1"/>
      <c r="T13" s="1"/>
      <c r="U13" s="1"/>
    </row>
    <row r="14" spans="1:21" ht="24.75" customHeight="1" thickBot="1">
      <c r="A14" s="1"/>
      <c r="B14" s="57" t="s">
        <v>73</v>
      </c>
      <c r="C14" s="58"/>
      <c r="D14" s="59"/>
      <c r="E14" s="60"/>
      <c r="F14" s="61"/>
      <c r="G14" s="62"/>
      <c r="H14" s="195"/>
      <c r="I14" s="56" t="s">
        <v>188</v>
      </c>
      <c r="J14" s="43"/>
      <c r="K14" s="22" t="str">
        <f>IF($H$12&gt;2.5,"STANDART BOX BEAM",IF($H$12&gt;1.5,"GENORMTER KASTENTRÄGER","STANDART KUTU KİRİŞLER"))</f>
        <v>STANDART KUTU KİRİŞLER</v>
      </c>
      <c r="N14" s="1"/>
      <c r="O14" s="43"/>
      <c r="P14" s="1"/>
      <c r="Q14" s="43"/>
      <c r="R14" s="1"/>
      <c r="S14" s="1"/>
      <c r="T14" s="1"/>
      <c r="U14" s="1"/>
    </row>
    <row r="15" spans="1:21" ht="24.75" customHeight="1" thickBot="1" thickTop="1">
      <c r="A15" s="1"/>
      <c r="B15" s="196"/>
      <c r="C15" s="196"/>
      <c r="D15" s="196"/>
      <c r="E15" s="196"/>
      <c r="F15" s="196"/>
      <c r="G15" s="196"/>
      <c r="H15" s="196"/>
      <c r="I15" s="23"/>
      <c r="J15" s="23"/>
      <c r="K15" s="23"/>
      <c r="L15" s="23"/>
      <c r="M15" s="23"/>
      <c r="N15" s="23"/>
      <c r="O15" s="23"/>
      <c r="P15" s="23"/>
      <c r="Q15" s="23"/>
      <c r="R15" s="23"/>
      <c r="S15" s="23"/>
      <c r="T15" s="1"/>
      <c r="U15" s="1"/>
    </row>
    <row r="16" spans="1:21" ht="24.75" customHeight="1" thickTop="1">
      <c r="A16" s="1"/>
      <c r="B16" s="197" t="str">
        <f>IF($H$12&gt;2.5,"Blue fields are that input fields, are not write-protected. ",IF($H$12&gt;1.5,"Blaue Felder sind Eingabefelder, welche nicht schreibgeschützt sind. ",IF($H$12&gt;0.5,"Mavi olan kareler kilitli olmayan ve yazılabilinen karelerdir","")))</f>
        <v>Mavi olan kareler kilitli olmayan ve yazılabilinen karelerdir</v>
      </c>
      <c r="C16" s="197"/>
      <c r="D16" s="197"/>
      <c r="E16" s="197"/>
      <c r="F16" s="197"/>
      <c r="G16" s="197"/>
      <c r="H16" s="197"/>
      <c r="I16" s="23"/>
      <c r="J16" s="23"/>
      <c r="K16" s="23"/>
      <c r="L16" s="23"/>
      <c r="M16" s="23"/>
      <c r="N16" s="23"/>
      <c r="O16" s="23"/>
      <c r="P16" s="23"/>
      <c r="Q16" s="23"/>
      <c r="R16" s="23"/>
      <c r="S16" s="23"/>
      <c r="T16" s="1"/>
      <c r="U16" s="1"/>
    </row>
    <row r="17" spans="1:21" ht="24.75" customHeight="1">
      <c r="A17" s="1"/>
      <c r="B17" s="197"/>
      <c r="C17" s="197"/>
      <c r="D17" s="197"/>
      <c r="E17" s="197"/>
      <c r="F17" s="197"/>
      <c r="G17" s="197"/>
      <c r="H17" s="197"/>
      <c r="I17" s="23"/>
      <c r="J17" s="23"/>
      <c r="K17" s="23"/>
      <c r="L17" s="23"/>
      <c r="M17" s="23"/>
      <c r="N17" s="23"/>
      <c r="O17" s="23"/>
      <c r="P17" s="23"/>
      <c r="Q17" s="23"/>
      <c r="R17" s="23"/>
      <c r="S17" s="23"/>
      <c r="T17" s="1"/>
      <c r="U17" s="43"/>
    </row>
    <row r="18" spans="1:21" ht="24.75" customHeight="1">
      <c r="A18" s="1"/>
      <c r="B18" s="63"/>
      <c r="C18" s="63"/>
      <c r="D18" s="63"/>
      <c r="E18" s="43"/>
      <c r="F18" s="43"/>
      <c r="G18" s="23"/>
      <c r="H18" s="23"/>
      <c r="I18" s="23"/>
      <c r="J18" s="23"/>
      <c r="K18" s="23"/>
      <c r="L18" s="23"/>
      <c r="M18" s="23"/>
      <c r="N18" s="23"/>
      <c r="O18" s="23"/>
      <c r="P18" s="23"/>
      <c r="Q18" s="23"/>
      <c r="R18" s="23"/>
      <c r="S18" s="23"/>
      <c r="T18" s="1"/>
      <c r="U18" s="43"/>
    </row>
    <row r="19" spans="1:21" ht="24.75" customHeight="1">
      <c r="A19" s="1"/>
      <c r="E19" s="1"/>
      <c r="F19" s="43"/>
      <c r="G19" s="23"/>
      <c r="H19" s="23"/>
      <c r="I19" s="23"/>
      <c r="J19" s="23"/>
      <c r="K19" s="23"/>
      <c r="L19" s="23"/>
      <c r="M19" s="23"/>
      <c r="N19" s="23"/>
      <c r="O19" s="23"/>
      <c r="P19" s="23"/>
      <c r="Q19" s="23"/>
      <c r="R19" s="23"/>
      <c r="S19" s="23"/>
      <c r="T19" s="4"/>
      <c r="U19" s="43"/>
    </row>
    <row r="20" spans="1:21" ht="19.5" customHeight="1">
      <c r="A20" s="1"/>
      <c r="F20" s="43"/>
      <c r="G20" s="23"/>
      <c r="H20" s="23"/>
      <c r="I20" s="23"/>
      <c r="J20" s="23"/>
      <c r="K20" s="23"/>
      <c r="L20" s="23"/>
      <c r="M20" s="23"/>
      <c r="N20" s="23"/>
      <c r="O20" s="23"/>
      <c r="P20" s="23"/>
      <c r="Q20" s="23"/>
      <c r="R20" s="23"/>
      <c r="S20" s="23"/>
      <c r="T20" s="4"/>
      <c r="U20" s="43"/>
    </row>
    <row r="21" spans="1:21" ht="19.5" customHeight="1">
      <c r="A21" s="1"/>
      <c r="E21" s="1"/>
      <c r="F21" s="43"/>
      <c r="G21" s="23"/>
      <c r="H21" s="23"/>
      <c r="I21" s="23"/>
      <c r="J21" s="23"/>
      <c r="K21" s="23"/>
      <c r="L21" s="23"/>
      <c r="M21" s="23"/>
      <c r="N21" s="23"/>
      <c r="O21" s="23"/>
      <c r="P21" s="23"/>
      <c r="Q21" s="23"/>
      <c r="R21" s="23"/>
      <c r="S21" s="23"/>
      <c r="T21" s="4"/>
      <c r="U21" s="43"/>
    </row>
    <row r="22" spans="1:21" ht="19.5" customHeight="1">
      <c r="A22" s="1"/>
      <c r="B22" s="1"/>
      <c r="C22" s="1"/>
      <c r="D22" s="1"/>
      <c r="E22" s="43"/>
      <c r="F22" s="43"/>
      <c r="G22" s="23"/>
      <c r="H22" s="23"/>
      <c r="I22" s="23"/>
      <c r="J22" s="23"/>
      <c r="K22" s="23"/>
      <c r="L22" s="23"/>
      <c r="M22" s="23"/>
      <c r="N22" s="23"/>
      <c r="O22" s="23"/>
      <c r="P22" s="23"/>
      <c r="Q22" s="23"/>
      <c r="R22" s="23"/>
      <c r="S22" s="23"/>
      <c r="T22" s="4"/>
      <c r="U22" s="43"/>
    </row>
    <row r="23" spans="1:21" ht="19.5" customHeight="1">
      <c r="A23" s="1"/>
      <c r="B23" s="4"/>
      <c r="C23" s="4"/>
      <c r="D23" s="4"/>
      <c r="E23" s="4"/>
      <c r="F23" s="3"/>
      <c r="G23" s="208"/>
      <c r="H23" s="209"/>
      <c r="I23" s="209"/>
      <c r="J23" s="23"/>
      <c r="K23" s="23"/>
      <c r="L23" s="23"/>
      <c r="M23" s="23"/>
      <c r="N23" s="23"/>
      <c r="O23" s="23"/>
      <c r="P23" s="23"/>
      <c r="Q23" s="23"/>
      <c r="R23" s="23"/>
      <c r="S23" s="23"/>
      <c r="T23" s="4"/>
      <c r="U23" s="43"/>
    </row>
    <row r="24" spans="1:21" ht="19.5" customHeight="1">
      <c r="A24" s="1"/>
      <c r="B24" s="1"/>
      <c r="C24" s="1"/>
      <c r="D24" s="1"/>
      <c r="E24" s="1"/>
      <c r="F24" s="1"/>
      <c r="G24" s="23"/>
      <c r="H24" s="23"/>
      <c r="I24" s="23"/>
      <c r="J24" s="23"/>
      <c r="K24" s="23"/>
      <c r="L24" s="23"/>
      <c r="M24" s="23"/>
      <c r="N24" s="23"/>
      <c r="O24" s="23"/>
      <c r="P24" s="23"/>
      <c r="Q24" s="23"/>
      <c r="R24" s="23"/>
      <c r="S24" s="23"/>
      <c r="T24" s="4"/>
      <c r="U24" s="43"/>
    </row>
    <row r="25" spans="1:38" s="38" customFormat="1" ht="19.5" customHeight="1">
      <c r="A25" s="1"/>
      <c r="B25" s="1"/>
      <c r="C25" s="1"/>
      <c r="D25" s="1"/>
      <c r="E25" s="1"/>
      <c r="F25" s="1"/>
      <c r="G25" s="43"/>
      <c r="H25" s="43"/>
      <c r="I25" s="43"/>
      <c r="J25" s="43"/>
      <c r="K25" s="43"/>
      <c r="L25" s="43"/>
      <c r="M25" s="43"/>
      <c r="N25" s="43"/>
      <c r="O25" s="43"/>
      <c r="P25" s="43"/>
      <c r="Q25" s="43"/>
      <c r="R25" s="4"/>
      <c r="S25" s="4"/>
      <c r="T25" s="4"/>
      <c r="U25" s="43"/>
      <c r="AI25" s="23"/>
      <c r="AJ25" s="23"/>
      <c r="AK25" s="23"/>
      <c r="AL25" s="23"/>
    </row>
    <row r="26" spans="1:38" s="4" customFormat="1" ht="19.5" customHeight="1">
      <c r="A26" s="1"/>
      <c r="B26" s="1"/>
      <c r="C26" s="1"/>
      <c r="D26" s="1"/>
      <c r="E26" s="1"/>
      <c r="F26" s="1"/>
      <c r="G26" s="43"/>
      <c r="H26" s="43"/>
      <c r="I26" s="43"/>
      <c r="J26" s="43"/>
      <c r="K26" s="43"/>
      <c r="L26" s="43"/>
      <c r="M26" s="43"/>
      <c r="N26" s="43"/>
      <c r="O26" s="43"/>
      <c r="P26" s="43"/>
      <c r="Q26" s="43"/>
      <c r="R26" s="1"/>
      <c r="U26" s="43"/>
      <c r="AI26" s="33"/>
      <c r="AJ26" s="33"/>
      <c r="AK26" s="33"/>
      <c r="AL26" s="33"/>
    </row>
    <row r="27" spans="1:38" s="38" customFormat="1" ht="19.5" customHeight="1">
      <c r="A27" s="1"/>
      <c r="B27" s="1"/>
      <c r="C27" s="1"/>
      <c r="D27" s="1"/>
      <c r="E27" s="1"/>
      <c r="F27" s="1"/>
      <c r="G27" s="43"/>
      <c r="H27" s="43"/>
      <c r="I27" s="43"/>
      <c r="J27" s="43"/>
      <c r="K27" s="43"/>
      <c r="L27" s="43"/>
      <c r="M27" s="43"/>
      <c r="N27" s="43"/>
      <c r="O27" s="43"/>
      <c r="P27" s="43"/>
      <c r="Q27" s="43"/>
      <c r="R27" s="1"/>
      <c r="S27" s="4"/>
      <c r="T27" s="4"/>
      <c r="U27" s="43"/>
      <c r="AI27" s="23"/>
      <c r="AJ27" s="23"/>
      <c r="AK27" s="23"/>
      <c r="AL27" s="23"/>
    </row>
    <row r="28" spans="1:38" s="39" customFormat="1" ht="19.5" customHeight="1" hidden="1">
      <c r="A28" s="1"/>
      <c r="B28" s="1"/>
      <c r="C28" s="1"/>
      <c r="D28" s="1"/>
      <c r="E28" s="1"/>
      <c r="F28" s="1"/>
      <c r="G28" s="43"/>
      <c r="H28" s="43"/>
      <c r="I28" s="43"/>
      <c r="J28" s="43"/>
      <c r="K28" s="43"/>
      <c r="L28" s="43"/>
      <c r="M28" s="43"/>
      <c r="N28" s="1"/>
      <c r="O28" s="1"/>
      <c r="P28" s="43"/>
      <c r="Q28" s="43"/>
      <c r="R28" s="4"/>
      <c r="S28" s="4"/>
      <c r="T28" s="4"/>
      <c r="U28" s="43"/>
      <c r="AI28" s="23"/>
      <c r="AJ28" s="23"/>
      <c r="AK28" s="23"/>
      <c r="AL28" s="23"/>
    </row>
    <row r="29" spans="1:38" s="39" customFormat="1" ht="19.5" customHeight="1" hidden="1">
      <c r="A29" s="1"/>
      <c r="B29" s="1"/>
      <c r="C29" s="1"/>
      <c r="D29" s="1"/>
      <c r="E29" s="1"/>
      <c r="F29" s="1"/>
      <c r="G29" s="43"/>
      <c r="H29" s="43"/>
      <c r="I29" s="43"/>
      <c r="J29" s="43"/>
      <c r="K29" s="43"/>
      <c r="L29" s="43"/>
      <c r="M29" s="43"/>
      <c r="N29" s="43"/>
      <c r="O29" s="43"/>
      <c r="P29" s="43"/>
      <c r="Q29" s="43"/>
      <c r="R29" s="4"/>
      <c r="S29" s="4"/>
      <c r="T29" s="4"/>
      <c r="U29" s="43"/>
      <c r="AI29" s="23"/>
      <c r="AJ29" s="23"/>
      <c r="AK29" s="23"/>
      <c r="AL29" s="23"/>
    </row>
    <row r="30" spans="1:38" s="39" customFormat="1" ht="19.5" customHeight="1" hidden="1">
      <c r="A30" s="1"/>
      <c r="B30" s="1"/>
      <c r="C30" s="1"/>
      <c r="D30" s="1"/>
      <c r="E30" s="1"/>
      <c r="F30" s="1"/>
      <c r="G30" s="43"/>
      <c r="H30" s="43"/>
      <c r="I30" s="43"/>
      <c r="J30" s="43"/>
      <c r="K30" s="43"/>
      <c r="L30" s="43"/>
      <c r="M30" s="43"/>
      <c r="N30" s="43"/>
      <c r="O30" s="43"/>
      <c r="P30" s="43"/>
      <c r="Q30" s="43"/>
      <c r="R30" s="1"/>
      <c r="S30" s="1"/>
      <c r="T30" s="4"/>
      <c r="U30" s="43"/>
      <c r="AI30" s="23"/>
      <c r="AJ30" s="23"/>
      <c r="AK30" s="23"/>
      <c r="AL30" s="23"/>
    </row>
    <row r="31" spans="1:38" s="39" customFormat="1" ht="19.5" customHeight="1" hidden="1">
      <c r="A31" s="1"/>
      <c r="B31" s="1"/>
      <c r="C31" s="1"/>
      <c r="D31" s="1"/>
      <c r="E31" s="1"/>
      <c r="F31" s="1"/>
      <c r="G31" s="43"/>
      <c r="H31" s="43"/>
      <c r="I31" s="43"/>
      <c r="J31" s="43"/>
      <c r="K31" s="43"/>
      <c r="L31" s="43"/>
      <c r="M31" s="43"/>
      <c r="N31" s="43"/>
      <c r="O31" s="43"/>
      <c r="P31" s="43"/>
      <c r="Q31" s="43"/>
      <c r="R31" s="1"/>
      <c r="S31" s="1"/>
      <c r="T31" s="4"/>
      <c r="U31" s="43"/>
      <c r="AI31" s="23"/>
      <c r="AJ31" s="23"/>
      <c r="AK31" s="23"/>
      <c r="AL31" s="23"/>
    </row>
    <row r="32" spans="1:38" s="39" customFormat="1" ht="19.5" customHeight="1" hidden="1">
      <c r="A32" s="1"/>
      <c r="B32" s="1"/>
      <c r="C32" s="1"/>
      <c r="D32" s="1"/>
      <c r="E32" s="1"/>
      <c r="F32" s="1"/>
      <c r="G32" s="1"/>
      <c r="H32" s="1"/>
      <c r="I32" s="1"/>
      <c r="J32" s="1"/>
      <c r="K32" s="1"/>
      <c r="L32" s="1"/>
      <c r="M32" s="1"/>
      <c r="N32" s="1"/>
      <c r="O32" s="1"/>
      <c r="P32" s="1"/>
      <c r="Q32" s="4"/>
      <c r="R32" s="4"/>
      <c r="S32" s="4"/>
      <c r="T32" s="4"/>
      <c r="U32" s="43"/>
      <c r="AI32" s="23"/>
      <c r="AJ32" s="23"/>
      <c r="AK32" s="23"/>
      <c r="AL32" s="23"/>
    </row>
    <row r="33" spans="1:38" s="39" customFormat="1" ht="19.5" customHeight="1" hidden="1">
      <c r="A33" s="1"/>
      <c r="B33" s="183" t="s">
        <v>74</v>
      </c>
      <c r="C33" s="198"/>
      <c r="D33" s="198"/>
      <c r="E33" s="198"/>
      <c r="F33" s="198"/>
      <c r="G33" s="198"/>
      <c r="H33" s="198"/>
      <c r="I33" s="198"/>
      <c r="J33" s="198"/>
      <c r="K33" s="198"/>
      <c r="L33" s="198"/>
      <c r="M33" s="198"/>
      <c r="N33" s="198"/>
      <c r="O33" s="199"/>
      <c r="P33" s="43" t="s">
        <v>75</v>
      </c>
      <c r="Q33" s="4"/>
      <c r="R33" s="4"/>
      <c r="S33" s="4"/>
      <c r="T33" s="4"/>
      <c r="U33" s="43"/>
      <c r="AI33" s="23"/>
      <c r="AJ33" s="23"/>
      <c r="AK33" s="23"/>
      <c r="AL33" s="23"/>
    </row>
    <row r="34" spans="1:38" s="39" customFormat="1" ht="19.5" customHeight="1" hidden="1">
      <c r="A34" s="1"/>
      <c r="B34" s="200"/>
      <c r="C34" s="181"/>
      <c r="D34" s="181"/>
      <c r="E34" s="181"/>
      <c r="F34" s="181"/>
      <c r="G34" s="181"/>
      <c r="H34" s="181"/>
      <c r="I34" s="181"/>
      <c r="J34" s="181"/>
      <c r="K34" s="181"/>
      <c r="L34" s="181"/>
      <c r="M34" s="181"/>
      <c r="N34" s="181"/>
      <c r="O34" s="201"/>
      <c r="P34" s="1"/>
      <c r="Q34" s="4"/>
      <c r="R34" s="4"/>
      <c r="S34" s="4"/>
      <c r="T34" s="4"/>
      <c r="U34" s="43"/>
      <c r="AI34" s="23"/>
      <c r="AJ34" s="23"/>
      <c r="AK34" s="23"/>
      <c r="AL34" s="23"/>
    </row>
    <row r="35" spans="1:38" s="39" customFormat="1" ht="19.5" customHeight="1" hidden="1">
      <c r="A35" s="1"/>
      <c r="B35" s="202"/>
      <c r="C35" s="203"/>
      <c r="D35" s="203"/>
      <c r="E35" s="203"/>
      <c r="F35" s="203"/>
      <c r="G35" s="203"/>
      <c r="H35" s="203"/>
      <c r="I35" s="203"/>
      <c r="J35" s="203"/>
      <c r="K35" s="203"/>
      <c r="L35" s="203"/>
      <c r="M35" s="203"/>
      <c r="N35" s="203"/>
      <c r="O35" s="204"/>
      <c r="P35" s="1"/>
      <c r="Q35" s="4"/>
      <c r="R35" s="4"/>
      <c r="S35" s="4"/>
      <c r="T35" s="4"/>
      <c r="U35" s="43"/>
      <c r="AI35" s="23"/>
      <c r="AJ35" s="23"/>
      <c r="AK35" s="23"/>
      <c r="AL35" s="23"/>
    </row>
    <row r="36" spans="1:21" s="39" customFormat="1" ht="19.5" customHeight="1" hidden="1">
      <c r="A36" s="1"/>
      <c r="B36" s="1"/>
      <c r="C36" s="1"/>
      <c r="D36" s="1"/>
      <c r="E36" s="1"/>
      <c r="F36" s="1"/>
      <c r="G36" s="1"/>
      <c r="H36" s="1"/>
      <c r="I36" s="1"/>
      <c r="J36" s="1"/>
      <c r="K36" s="1"/>
      <c r="L36" s="1"/>
      <c r="M36" s="1"/>
      <c r="N36" s="1"/>
      <c r="O36" s="1"/>
      <c r="P36" s="1"/>
      <c r="Q36" s="4"/>
      <c r="R36" s="4"/>
      <c r="S36" s="4"/>
      <c r="T36" s="4"/>
      <c r="U36" s="43"/>
    </row>
    <row r="37" spans="1:21" s="40" customFormat="1" ht="19.5" customHeight="1" hidden="1">
      <c r="A37" s="1"/>
      <c r="B37" s="183" t="s">
        <v>76</v>
      </c>
      <c r="C37" s="184"/>
      <c r="D37" s="184"/>
      <c r="E37" s="184"/>
      <c r="F37" s="184"/>
      <c r="G37" s="184"/>
      <c r="H37" s="184"/>
      <c r="I37" s="184"/>
      <c r="J37" s="184"/>
      <c r="K37" s="184"/>
      <c r="L37" s="184"/>
      <c r="M37" s="184"/>
      <c r="N37" s="184"/>
      <c r="O37" s="185"/>
      <c r="P37" s="43" t="s">
        <v>77</v>
      </c>
      <c r="Q37" s="4"/>
      <c r="R37" s="4"/>
      <c r="S37" s="4"/>
      <c r="T37" s="4"/>
      <c r="U37" s="43"/>
    </row>
    <row r="38" spans="1:21" s="39" customFormat="1" ht="19.5" customHeight="1" hidden="1">
      <c r="A38" s="1"/>
      <c r="B38" s="190"/>
      <c r="C38" s="191"/>
      <c r="D38" s="191"/>
      <c r="E38" s="191"/>
      <c r="F38" s="191"/>
      <c r="G38" s="191"/>
      <c r="H38" s="191"/>
      <c r="I38" s="191"/>
      <c r="J38" s="191"/>
      <c r="K38" s="191"/>
      <c r="L38" s="191"/>
      <c r="M38" s="191"/>
      <c r="N38" s="191"/>
      <c r="O38" s="192"/>
      <c r="P38" s="43"/>
      <c r="Q38" s="4"/>
      <c r="R38" s="4"/>
      <c r="S38" s="4"/>
      <c r="T38" s="4"/>
      <c r="U38" s="43"/>
    </row>
    <row r="39" spans="1:21" s="39" customFormat="1" ht="19.5" customHeight="1" hidden="1">
      <c r="A39" s="1"/>
      <c r="B39" s="186"/>
      <c r="C39" s="187"/>
      <c r="D39" s="187"/>
      <c r="E39" s="187"/>
      <c r="F39" s="187"/>
      <c r="G39" s="187"/>
      <c r="H39" s="187"/>
      <c r="I39" s="187"/>
      <c r="J39" s="187"/>
      <c r="K39" s="187"/>
      <c r="L39" s="187"/>
      <c r="M39" s="187"/>
      <c r="N39" s="187"/>
      <c r="O39" s="188"/>
      <c r="P39" s="43"/>
      <c r="Q39" s="4"/>
      <c r="R39" s="4"/>
      <c r="S39" s="4"/>
      <c r="T39" s="4"/>
      <c r="U39" s="43"/>
    </row>
    <row r="40" spans="1:21" s="39" customFormat="1" ht="19.5" customHeight="1" hidden="1">
      <c r="A40" s="1"/>
      <c r="B40" s="1"/>
      <c r="C40" s="1"/>
      <c r="D40" s="1"/>
      <c r="E40" s="1"/>
      <c r="F40" s="1"/>
      <c r="G40" s="1"/>
      <c r="H40" s="1"/>
      <c r="I40" s="1"/>
      <c r="J40" s="1"/>
      <c r="K40" s="1"/>
      <c r="L40" s="1"/>
      <c r="M40" s="1"/>
      <c r="N40" s="1"/>
      <c r="O40" s="1"/>
      <c r="P40" s="1"/>
      <c r="Q40" s="4"/>
      <c r="R40" s="4"/>
      <c r="S40" s="4"/>
      <c r="T40" s="4"/>
      <c r="U40" s="43"/>
    </row>
    <row r="41" spans="1:21" s="39" customFormat="1" ht="19.5" customHeight="1" hidden="1">
      <c r="A41" s="1"/>
      <c r="B41" s="183" t="s">
        <v>78</v>
      </c>
      <c r="C41" s="184"/>
      <c r="D41" s="184"/>
      <c r="E41" s="184"/>
      <c r="F41" s="184"/>
      <c r="G41" s="184"/>
      <c r="H41" s="184"/>
      <c r="I41" s="184"/>
      <c r="J41" s="184"/>
      <c r="K41" s="184"/>
      <c r="L41" s="184"/>
      <c r="M41" s="184"/>
      <c r="N41" s="184"/>
      <c r="O41" s="185"/>
      <c r="P41" s="43" t="s">
        <v>67</v>
      </c>
      <c r="Q41" s="4"/>
      <c r="R41" s="4"/>
      <c r="S41" s="4"/>
      <c r="T41" s="4"/>
      <c r="U41" s="43"/>
    </row>
    <row r="42" spans="1:21" s="39" customFormat="1" ht="19.5" customHeight="1" hidden="1">
      <c r="A42" s="1"/>
      <c r="B42" s="190"/>
      <c r="C42" s="191"/>
      <c r="D42" s="191"/>
      <c r="E42" s="191"/>
      <c r="F42" s="191"/>
      <c r="G42" s="191"/>
      <c r="H42" s="191"/>
      <c r="I42" s="191"/>
      <c r="J42" s="191"/>
      <c r="K42" s="191"/>
      <c r="L42" s="191"/>
      <c r="M42" s="191"/>
      <c r="N42" s="191"/>
      <c r="O42" s="192"/>
      <c r="P42" s="43"/>
      <c r="Q42" s="4"/>
      <c r="R42" s="4"/>
      <c r="S42" s="4"/>
      <c r="T42" s="4"/>
      <c r="U42" s="43"/>
    </row>
    <row r="43" spans="1:21" s="39" customFormat="1" ht="19.5" customHeight="1" hidden="1">
      <c r="A43" s="1"/>
      <c r="B43" s="186"/>
      <c r="C43" s="187"/>
      <c r="D43" s="187"/>
      <c r="E43" s="187"/>
      <c r="F43" s="187"/>
      <c r="G43" s="187"/>
      <c r="H43" s="187"/>
      <c r="I43" s="187"/>
      <c r="J43" s="187"/>
      <c r="K43" s="187"/>
      <c r="L43" s="187"/>
      <c r="M43" s="187"/>
      <c r="N43" s="187"/>
      <c r="O43" s="188"/>
      <c r="P43" s="43"/>
      <c r="Q43" s="4"/>
      <c r="R43" s="4"/>
      <c r="S43" s="4"/>
      <c r="T43" s="4"/>
      <c r="U43" s="43"/>
    </row>
    <row r="44" spans="1:21" s="39" customFormat="1" ht="19.5" customHeight="1" hidden="1">
      <c r="A44" s="1"/>
      <c r="B44" s="1"/>
      <c r="C44" s="1"/>
      <c r="D44" s="1"/>
      <c r="E44" s="1"/>
      <c r="F44" s="1"/>
      <c r="G44" s="1"/>
      <c r="H44" s="1"/>
      <c r="I44" s="1"/>
      <c r="J44" s="1"/>
      <c r="K44" s="1"/>
      <c r="L44" s="1"/>
      <c r="M44" s="1"/>
      <c r="N44" s="1"/>
      <c r="O44" s="1"/>
      <c r="P44" s="1"/>
      <c r="Q44" s="4"/>
      <c r="R44" s="4"/>
      <c r="S44" s="4"/>
      <c r="T44" s="4"/>
      <c r="U44" s="43"/>
    </row>
    <row r="45" spans="1:21" s="39" customFormat="1" ht="19.5" customHeight="1" hidden="1">
      <c r="A45" s="43"/>
      <c r="B45" s="43"/>
      <c r="C45" s="43"/>
      <c r="D45" s="43"/>
      <c r="E45" s="43"/>
      <c r="F45" s="43"/>
      <c r="G45" s="43"/>
      <c r="H45" s="43"/>
      <c r="I45" s="43"/>
      <c r="J45" s="43"/>
      <c r="K45" s="43"/>
      <c r="L45" s="43"/>
      <c r="M45" s="43"/>
      <c r="N45" s="43"/>
      <c r="O45" s="43"/>
      <c r="P45" s="43"/>
      <c r="Q45" s="43"/>
      <c r="R45" s="43"/>
      <c r="S45" s="43"/>
      <c r="T45" s="43"/>
      <c r="U45" s="43"/>
    </row>
    <row r="46" spans="1:21" s="39" customFormat="1" ht="19.5" customHeight="1" hidden="1">
      <c r="A46" s="43"/>
      <c r="B46" s="1"/>
      <c r="C46" s="43"/>
      <c r="D46" s="43"/>
      <c r="E46" s="43"/>
      <c r="F46" s="43"/>
      <c r="G46" s="43"/>
      <c r="H46" s="43"/>
      <c r="I46" s="43"/>
      <c r="J46" s="43"/>
      <c r="K46" s="43"/>
      <c r="L46" s="43"/>
      <c r="M46" s="43"/>
      <c r="N46" s="43"/>
      <c r="O46" s="43"/>
      <c r="P46" s="43"/>
      <c r="Q46" s="43"/>
      <c r="R46" s="43"/>
      <c r="S46" s="43"/>
      <c r="T46" s="43"/>
      <c r="U46" s="43"/>
    </row>
    <row r="47" spans="1:21" s="39" customFormat="1" ht="19.5" customHeight="1" hidden="1">
      <c r="A47" s="43"/>
      <c r="B47" s="183" t="s">
        <v>79</v>
      </c>
      <c r="C47" s="184"/>
      <c r="D47" s="184"/>
      <c r="E47" s="184"/>
      <c r="F47" s="184"/>
      <c r="G47" s="184"/>
      <c r="H47" s="184"/>
      <c r="I47" s="184"/>
      <c r="J47" s="184"/>
      <c r="K47" s="184"/>
      <c r="L47" s="184"/>
      <c r="M47" s="184"/>
      <c r="N47" s="184"/>
      <c r="O47" s="185"/>
      <c r="P47" s="43" t="s">
        <v>75</v>
      </c>
      <c r="Q47" s="43"/>
      <c r="R47" s="43"/>
      <c r="S47" s="43"/>
      <c r="T47" s="43"/>
      <c r="U47" s="43"/>
    </row>
    <row r="48" spans="1:21" s="39" customFormat="1" ht="19.5" customHeight="1" hidden="1">
      <c r="A48" s="43"/>
      <c r="B48" s="186"/>
      <c r="C48" s="187"/>
      <c r="D48" s="187"/>
      <c r="E48" s="187"/>
      <c r="F48" s="187"/>
      <c r="G48" s="187"/>
      <c r="H48" s="187"/>
      <c r="I48" s="187"/>
      <c r="J48" s="187"/>
      <c r="K48" s="187"/>
      <c r="L48" s="187"/>
      <c r="M48" s="187"/>
      <c r="N48" s="187"/>
      <c r="O48" s="188"/>
      <c r="P48" s="43"/>
      <c r="Q48" s="43"/>
      <c r="R48" s="43"/>
      <c r="S48" s="43"/>
      <c r="T48" s="43"/>
      <c r="U48" s="43"/>
    </row>
    <row r="49" spans="1:21" s="39" customFormat="1" ht="19.5" customHeight="1" hidden="1">
      <c r="A49" s="43"/>
      <c r="B49" s="43"/>
      <c r="C49" s="43"/>
      <c r="D49" s="43"/>
      <c r="E49" s="43"/>
      <c r="F49" s="43"/>
      <c r="G49" s="43"/>
      <c r="H49" s="43"/>
      <c r="I49" s="43"/>
      <c r="J49" s="43"/>
      <c r="K49" s="43"/>
      <c r="L49" s="43"/>
      <c r="M49" s="43"/>
      <c r="N49" s="43"/>
      <c r="O49" s="43"/>
      <c r="P49" s="43"/>
      <c r="Q49" s="43"/>
      <c r="R49" s="43"/>
      <c r="S49" s="43"/>
      <c r="T49" s="43"/>
      <c r="U49" s="43"/>
    </row>
    <row r="50" spans="1:21" s="39" customFormat="1" ht="19.5" customHeight="1" hidden="1">
      <c r="A50" s="43"/>
      <c r="B50" s="183" t="s">
        <v>80</v>
      </c>
      <c r="C50" s="184"/>
      <c r="D50" s="184"/>
      <c r="E50" s="184"/>
      <c r="F50" s="184"/>
      <c r="G50" s="184"/>
      <c r="H50" s="184"/>
      <c r="I50" s="184"/>
      <c r="J50" s="184"/>
      <c r="K50" s="184"/>
      <c r="L50" s="184"/>
      <c r="M50" s="184"/>
      <c r="N50" s="184"/>
      <c r="O50" s="185"/>
      <c r="P50" s="43" t="s">
        <v>77</v>
      </c>
      <c r="Q50" s="43"/>
      <c r="R50" s="43"/>
      <c r="S50" s="43"/>
      <c r="T50" s="43"/>
      <c r="U50" s="43"/>
    </row>
    <row r="51" spans="1:21" s="39" customFormat="1" ht="19.5" customHeight="1" hidden="1">
      <c r="A51" s="43"/>
      <c r="B51" s="186"/>
      <c r="C51" s="187"/>
      <c r="D51" s="187"/>
      <c r="E51" s="187"/>
      <c r="F51" s="187"/>
      <c r="G51" s="187"/>
      <c r="H51" s="187"/>
      <c r="I51" s="187"/>
      <c r="J51" s="187"/>
      <c r="K51" s="187"/>
      <c r="L51" s="187"/>
      <c r="M51" s="187"/>
      <c r="N51" s="187"/>
      <c r="O51" s="188"/>
      <c r="P51" s="43"/>
      <c r="Q51" s="43"/>
      <c r="R51" s="43"/>
      <c r="S51" s="43"/>
      <c r="T51" s="43"/>
      <c r="U51" s="43"/>
    </row>
    <row r="52" spans="1:21" s="39" customFormat="1" ht="19.5" customHeight="1" hidden="1">
      <c r="A52" s="43"/>
      <c r="B52" s="43"/>
      <c r="C52" s="43"/>
      <c r="D52" s="43"/>
      <c r="E52" s="43"/>
      <c r="F52" s="43"/>
      <c r="G52" s="43"/>
      <c r="H52" s="43"/>
      <c r="I52" s="43"/>
      <c r="J52" s="43"/>
      <c r="K52" s="43"/>
      <c r="L52" s="43"/>
      <c r="M52" s="43"/>
      <c r="N52" s="43"/>
      <c r="O52" s="43"/>
      <c r="P52" s="43"/>
      <c r="Q52" s="43"/>
      <c r="R52" s="43"/>
      <c r="S52" s="43"/>
      <c r="T52" s="43"/>
      <c r="U52" s="43"/>
    </row>
    <row r="53" spans="1:21" s="39" customFormat="1" ht="19.5" customHeight="1" hidden="1">
      <c r="A53" s="43"/>
      <c r="B53" s="183" t="s">
        <v>81</v>
      </c>
      <c r="C53" s="184"/>
      <c r="D53" s="184"/>
      <c r="E53" s="184"/>
      <c r="F53" s="184"/>
      <c r="G53" s="184"/>
      <c r="H53" s="184"/>
      <c r="I53" s="184"/>
      <c r="J53" s="184"/>
      <c r="K53" s="184"/>
      <c r="L53" s="184"/>
      <c r="M53" s="184"/>
      <c r="N53" s="184"/>
      <c r="O53" s="185"/>
      <c r="P53" s="43" t="s">
        <v>67</v>
      </c>
      <c r="Q53" s="43"/>
      <c r="R53" s="43"/>
      <c r="S53" s="43"/>
      <c r="T53" s="43"/>
      <c r="U53" s="43"/>
    </row>
    <row r="54" spans="1:21" s="39" customFormat="1" ht="19.5" customHeight="1" hidden="1">
      <c r="A54" s="43"/>
      <c r="B54" s="186"/>
      <c r="C54" s="187"/>
      <c r="D54" s="187"/>
      <c r="E54" s="187"/>
      <c r="F54" s="187"/>
      <c r="G54" s="187"/>
      <c r="H54" s="187"/>
      <c r="I54" s="187"/>
      <c r="J54" s="187"/>
      <c r="K54" s="187"/>
      <c r="L54" s="187"/>
      <c r="M54" s="187"/>
      <c r="N54" s="187"/>
      <c r="O54" s="188"/>
      <c r="P54" s="43"/>
      <c r="Q54" s="43"/>
      <c r="R54" s="43"/>
      <c r="S54" s="43"/>
      <c r="T54" s="43"/>
      <c r="U54" s="43"/>
    </row>
    <row r="55" spans="1:21" s="39" customFormat="1" ht="19.5" customHeight="1" hidden="1">
      <c r="A55" s="43"/>
      <c r="B55" s="64"/>
      <c r="C55" s="64"/>
      <c r="D55" s="64"/>
      <c r="E55" s="64"/>
      <c r="F55" s="64"/>
      <c r="G55" s="64"/>
      <c r="H55" s="64"/>
      <c r="I55" s="64"/>
      <c r="J55" s="64"/>
      <c r="K55" s="64"/>
      <c r="L55" s="64"/>
      <c r="M55" s="64"/>
      <c r="N55" s="64"/>
      <c r="O55" s="64"/>
      <c r="P55" s="43"/>
      <c r="Q55" s="43"/>
      <c r="R55" s="43"/>
      <c r="S55" s="43"/>
      <c r="T55" s="43"/>
      <c r="U55" s="43"/>
    </row>
    <row r="56" spans="1:21" s="39" customFormat="1" ht="19.5" customHeight="1" hidden="1">
      <c r="A56" s="43"/>
      <c r="B56" s="42"/>
      <c r="C56" s="42"/>
      <c r="D56" s="42"/>
      <c r="E56" s="42"/>
      <c r="F56" s="42"/>
      <c r="G56" s="42"/>
      <c r="H56" s="42"/>
      <c r="I56" s="42"/>
      <c r="J56" s="42"/>
      <c r="K56" s="42"/>
      <c r="L56" s="42"/>
      <c r="M56" s="42"/>
      <c r="N56" s="42"/>
      <c r="O56" s="42"/>
      <c r="P56" s="43"/>
      <c r="Q56" s="43"/>
      <c r="R56" s="43"/>
      <c r="S56" s="43"/>
      <c r="T56" s="43"/>
      <c r="U56" s="43"/>
    </row>
    <row r="57" spans="1:21" s="39" customFormat="1" ht="19.5" customHeight="1" hidden="1">
      <c r="A57" s="43"/>
      <c r="B57" s="43"/>
      <c r="C57" s="43"/>
      <c r="D57" s="43"/>
      <c r="E57" s="43"/>
      <c r="F57" s="43"/>
      <c r="G57" s="43"/>
      <c r="H57" s="43"/>
      <c r="I57" s="43"/>
      <c r="J57" s="43"/>
      <c r="K57" s="43"/>
      <c r="L57" s="43"/>
      <c r="M57" s="43"/>
      <c r="N57" s="43"/>
      <c r="O57" s="43"/>
      <c r="P57" s="43"/>
      <c r="Q57" s="43"/>
      <c r="R57" s="43"/>
      <c r="S57" s="43"/>
      <c r="T57" s="43"/>
      <c r="U57" s="43"/>
    </row>
    <row r="58" spans="1:21" s="40" customFormat="1" ht="19.5" customHeight="1" hidden="1">
      <c r="A58" s="43"/>
      <c r="B58" s="43"/>
      <c r="C58" s="43"/>
      <c r="D58" s="43"/>
      <c r="E58" s="43"/>
      <c r="F58" s="43"/>
      <c r="G58" s="43"/>
      <c r="H58" s="43"/>
      <c r="I58" s="43"/>
      <c r="J58" s="43"/>
      <c r="K58" s="43"/>
      <c r="L58" s="43"/>
      <c r="M58" s="43"/>
      <c r="N58" s="43"/>
      <c r="O58" s="43"/>
      <c r="P58" s="43"/>
      <c r="Q58" s="43"/>
      <c r="R58" s="43"/>
      <c r="S58" s="43"/>
      <c r="T58" s="43"/>
      <c r="U58" s="43"/>
    </row>
    <row r="59" spans="1:21" s="40" customFormat="1" ht="19.5" customHeight="1">
      <c r="A59" s="43"/>
      <c r="B59" s="43"/>
      <c r="C59" s="43"/>
      <c r="D59" s="43"/>
      <c r="E59" s="43"/>
      <c r="F59" s="43"/>
      <c r="G59" s="43"/>
      <c r="H59" s="43"/>
      <c r="I59" s="43"/>
      <c r="J59" s="43"/>
      <c r="K59" s="43"/>
      <c r="L59" s="43"/>
      <c r="M59" s="43"/>
      <c r="N59" s="43"/>
      <c r="O59" s="43"/>
      <c r="P59" s="43"/>
      <c r="Q59" s="43"/>
      <c r="R59" s="43"/>
      <c r="S59" s="43"/>
      <c r="T59" s="43"/>
      <c r="U59" s="43"/>
    </row>
    <row r="60" spans="1:21" s="40" customFormat="1" ht="19.5" customHeight="1">
      <c r="A60" s="43"/>
      <c r="B60" s="43"/>
      <c r="C60" s="43"/>
      <c r="D60" s="43"/>
      <c r="E60" s="43"/>
      <c r="F60" s="43"/>
      <c r="G60" s="43"/>
      <c r="H60" s="43"/>
      <c r="I60" s="43"/>
      <c r="J60" s="43"/>
      <c r="K60" s="43"/>
      <c r="L60" s="43"/>
      <c r="M60" s="43"/>
      <c r="N60" s="43"/>
      <c r="O60" s="43"/>
      <c r="P60" s="43"/>
      <c r="Q60" s="43"/>
      <c r="R60" s="43"/>
      <c r="S60" s="43"/>
      <c r="T60" s="43"/>
      <c r="U60" s="43"/>
    </row>
    <row r="61" spans="1:21" s="40" customFormat="1" ht="19.5" customHeight="1">
      <c r="A61" s="43"/>
      <c r="B61" s="43"/>
      <c r="C61" s="43"/>
      <c r="D61" s="43"/>
      <c r="E61" s="43"/>
      <c r="F61" s="43"/>
      <c r="G61" s="43"/>
      <c r="H61" s="43"/>
      <c r="I61" s="43"/>
      <c r="J61" s="43"/>
      <c r="K61" s="43"/>
      <c r="L61" s="43"/>
      <c r="M61" s="43"/>
      <c r="N61" s="43"/>
      <c r="O61" s="43"/>
      <c r="P61" s="43"/>
      <c r="Q61" s="43"/>
      <c r="R61" s="43"/>
      <c r="S61" s="43"/>
      <c r="T61" s="43"/>
      <c r="U61" s="43"/>
    </row>
    <row r="62" spans="1:21" s="40" customFormat="1" ht="19.5" customHeight="1">
      <c r="A62" s="43"/>
      <c r="B62" s="43"/>
      <c r="C62" s="43"/>
      <c r="D62" s="43"/>
      <c r="E62" s="43"/>
      <c r="F62" s="43"/>
      <c r="G62" s="43"/>
      <c r="H62" s="43"/>
      <c r="I62" s="43"/>
      <c r="J62" s="43"/>
      <c r="K62" s="43"/>
      <c r="L62" s="43"/>
      <c r="M62" s="43"/>
      <c r="N62" s="43"/>
      <c r="O62" s="43"/>
      <c r="P62" s="43"/>
      <c r="Q62" s="43"/>
      <c r="R62" s="43"/>
      <c r="S62" s="43"/>
      <c r="T62" s="43"/>
      <c r="U62" s="43"/>
    </row>
    <row r="63" spans="1:21" s="40" customFormat="1" ht="19.5" customHeight="1">
      <c r="A63" s="43"/>
      <c r="B63" s="43"/>
      <c r="C63" s="43"/>
      <c r="D63" s="43"/>
      <c r="E63" s="43"/>
      <c r="F63" s="43"/>
      <c r="G63" s="43"/>
      <c r="H63" s="43"/>
      <c r="I63" s="43"/>
      <c r="J63" s="43"/>
      <c r="K63" s="43"/>
      <c r="L63" s="43"/>
      <c r="M63" s="43"/>
      <c r="N63" s="43"/>
      <c r="O63" s="43"/>
      <c r="P63" s="43"/>
      <c r="Q63" s="43"/>
      <c r="R63" s="43"/>
      <c r="S63" s="43"/>
      <c r="T63" s="43"/>
      <c r="U63" s="43"/>
    </row>
    <row r="64" spans="1:21" s="40" customFormat="1" ht="19.5" customHeight="1">
      <c r="A64" s="43"/>
      <c r="B64" s="43"/>
      <c r="C64" s="43"/>
      <c r="D64" s="43"/>
      <c r="E64" s="43"/>
      <c r="F64" s="43"/>
      <c r="G64" s="43"/>
      <c r="H64" s="43"/>
      <c r="I64" s="43"/>
      <c r="J64" s="43"/>
      <c r="K64" s="43"/>
      <c r="L64" s="43"/>
      <c r="M64" s="43"/>
      <c r="N64" s="43"/>
      <c r="O64" s="43"/>
      <c r="P64" s="43"/>
      <c r="Q64" s="43"/>
      <c r="R64" s="43"/>
      <c r="S64" s="43"/>
      <c r="T64" s="43"/>
      <c r="U64" s="43"/>
    </row>
    <row r="65" spans="1:21" s="40" customFormat="1" ht="19.5" customHeight="1">
      <c r="A65" s="43"/>
      <c r="B65" s="43"/>
      <c r="C65" s="43"/>
      <c r="D65" s="43"/>
      <c r="E65" s="43"/>
      <c r="F65" s="43"/>
      <c r="G65" s="43"/>
      <c r="H65" s="43"/>
      <c r="I65" s="43"/>
      <c r="J65" s="43"/>
      <c r="K65" s="43"/>
      <c r="L65" s="43"/>
      <c r="M65" s="43"/>
      <c r="N65" s="43"/>
      <c r="O65" s="43"/>
      <c r="P65" s="43"/>
      <c r="Q65" s="43"/>
      <c r="R65" s="43"/>
      <c r="S65" s="43"/>
      <c r="T65" s="43"/>
      <c r="U65" s="43"/>
    </row>
    <row r="66" spans="1:21" s="40" customFormat="1" ht="19.5" customHeight="1">
      <c r="A66" s="43"/>
      <c r="B66" s="43"/>
      <c r="C66" s="43"/>
      <c r="D66" s="43"/>
      <c r="E66" s="43"/>
      <c r="F66" s="43"/>
      <c r="G66" s="43"/>
      <c r="H66" s="43"/>
      <c r="I66" s="43"/>
      <c r="J66" s="43"/>
      <c r="K66" s="43"/>
      <c r="L66" s="43"/>
      <c r="M66" s="43"/>
      <c r="N66" s="43"/>
      <c r="O66" s="43"/>
      <c r="P66" s="43"/>
      <c r="Q66" s="43"/>
      <c r="R66" s="43"/>
      <c r="S66" s="43"/>
      <c r="T66" s="43"/>
      <c r="U66" s="43"/>
    </row>
    <row r="67" spans="1:21" s="40" customFormat="1" ht="19.5" customHeight="1">
      <c r="A67" s="43"/>
      <c r="B67" s="43"/>
      <c r="C67" s="43"/>
      <c r="D67" s="43"/>
      <c r="E67" s="43"/>
      <c r="F67" s="43"/>
      <c r="G67" s="43"/>
      <c r="H67" s="43"/>
      <c r="I67" s="43"/>
      <c r="J67" s="43"/>
      <c r="K67" s="43"/>
      <c r="L67" s="43"/>
      <c r="M67" s="43"/>
      <c r="N67" s="43"/>
      <c r="O67" s="43"/>
      <c r="P67" s="43"/>
      <c r="Q67" s="43"/>
      <c r="R67" s="43"/>
      <c r="S67" s="43"/>
      <c r="T67" s="43"/>
      <c r="U67" s="43"/>
    </row>
    <row r="68" spans="1:21" s="40" customFormat="1" ht="19.5" customHeight="1">
      <c r="A68" s="43"/>
      <c r="B68" s="43"/>
      <c r="C68" s="43"/>
      <c r="D68" s="43"/>
      <c r="E68" s="43"/>
      <c r="F68" s="43"/>
      <c r="G68" s="43"/>
      <c r="H68" s="43"/>
      <c r="I68" s="43"/>
      <c r="J68" s="43"/>
      <c r="K68" s="43"/>
      <c r="L68" s="43"/>
      <c r="M68" s="43"/>
      <c r="N68" s="43"/>
      <c r="O68" s="43"/>
      <c r="P68" s="43"/>
      <c r="Q68" s="43"/>
      <c r="R68" s="43"/>
      <c r="S68" s="43"/>
      <c r="T68" s="43"/>
      <c r="U68" s="43"/>
    </row>
    <row r="69" spans="1:21" s="40" customFormat="1" ht="19.5" customHeight="1">
      <c r="A69" s="43"/>
      <c r="B69" s="43"/>
      <c r="C69" s="43"/>
      <c r="D69" s="43"/>
      <c r="E69" s="43"/>
      <c r="F69" s="43"/>
      <c r="G69" s="43"/>
      <c r="H69" s="43"/>
      <c r="I69" s="43"/>
      <c r="J69" s="43"/>
      <c r="K69" s="43"/>
      <c r="L69" s="43"/>
      <c r="M69" s="43"/>
      <c r="N69" s="43"/>
      <c r="O69" s="43"/>
      <c r="P69" s="43"/>
      <c r="Q69" s="43"/>
      <c r="R69" s="43"/>
      <c r="S69" s="43"/>
      <c r="T69" s="43"/>
      <c r="U69" s="43"/>
    </row>
    <row r="70" spans="1:21" s="40" customFormat="1" ht="19.5" customHeight="1">
      <c r="A70" s="43"/>
      <c r="B70" s="43"/>
      <c r="C70" s="43"/>
      <c r="D70" s="43"/>
      <c r="E70" s="43"/>
      <c r="F70" s="43"/>
      <c r="G70" s="43"/>
      <c r="H70" s="43"/>
      <c r="I70" s="43"/>
      <c r="J70" s="43"/>
      <c r="K70" s="43"/>
      <c r="L70" s="43"/>
      <c r="M70" s="43"/>
      <c r="N70" s="43"/>
      <c r="O70" s="43"/>
      <c r="P70" s="43"/>
      <c r="Q70" s="43"/>
      <c r="R70" s="43"/>
      <c r="S70" s="43"/>
      <c r="T70" s="43"/>
      <c r="U70" s="43"/>
    </row>
    <row r="71" spans="1:21" s="40" customFormat="1" ht="19.5" customHeight="1">
      <c r="A71" s="43"/>
      <c r="B71" s="43"/>
      <c r="C71" s="43"/>
      <c r="D71" s="43"/>
      <c r="E71" s="43"/>
      <c r="F71" s="43"/>
      <c r="G71" s="43"/>
      <c r="H71" s="43"/>
      <c r="I71" s="43"/>
      <c r="J71" s="43"/>
      <c r="K71" s="43"/>
      <c r="L71" s="43"/>
      <c r="M71" s="43"/>
      <c r="N71" s="43"/>
      <c r="O71" s="43"/>
      <c r="P71" s="43"/>
      <c r="Q71" s="43"/>
      <c r="R71" s="43"/>
      <c r="S71" s="43"/>
      <c r="T71" s="43"/>
      <c r="U71" s="43"/>
    </row>
    <row r="72" spans="1:21" s="40" customFormat="1" ht="19.5" customHeight="1">
      <c r="A72" s="43"/>
      <c r="B72" s="43"/>
      <c r="C72" s="43"/>
      <c r="D72" s="43"/>
      <c r="E72" s="43"/>
      <c r="F72" s="43"/>
      <c r="G72" s="43"/>
      <c r="H72" s="43"/>
      <c r="I72" s="43"/>
      <c r="J72" s="43"/>
      <c r="K72" s="43"/>
      <c r="L72" s="43"/>
      <c r="M72" s="43"/>
      <c r="N72" s="43"/>
      <c r="O72" s="43"/>
      <c r="P72" s="43"/>
      <c r="Q72" s="43"/>
      <c r="R72" s="43"/>
      <c r="S72" s="43"/>
      <c r="T72" s="43"/>
      <c r="U72" s="43"/>
    </row>
    <row r="73" spans="1:21" s="40" customFormat="1" ht="19.5" customHeight="1">
      <c r="A73" s="43"/>
      <c r="B73" s="43"/>
      <c r="C73" s="43"/>
      <c r="D73" s="43"/>
      <c r="E73" s="43"/>
      <c r="F73" s="43"/>
      <c r="G73" s="43"/>
      <c r="H73" s="43"/>
      <c r="I73" s="43"/>
      <c r="J73" s="43"/>
      <c r="K73" s="43"/>
      <c r="L73" s="43"/>
      <c r="M73" s="43"/>
      <c r="N73" s="43"/>
      <c r="O73" s="43"/>
      <c r="P73" s="43"/>
      <c r="Q73" s="43"/>
      <c r="R73" s="43"/>
      <c r="S73" s="43"/>
      <c r="T73" s="43"/>
      <c r="U73" s="43"/>
    </row>
    <row r="74" spans="1:21" s="40" customFormat="1" ht="19.5" customHeight="1">
      <c r="A74" s="43"/>
      <c r="B74" s="43"/>
      <c r="C74" s="43"/>
      <c r="D74" s="43"/>
      <c r="E74" s="43"/>
      <c r="F74" s="43"/>
      <c r="G74" s="43"/>
      <c r="H74" s="43"/>
      <c r="I74" s="43"/>
      <c r="J74" s="43"/>
      <c r="K74" s="43"/>
      <c r="L74" s="43"/>
      <c r="M74" s="43"/>
      <c r="N74" s="43"/>
      <c r="O74" s="43"/>
      <c r="P74" s="43"/>
      <c r="Q74" s="43"/>
      <c r="R74" s="43"/>
      <c r="S74" s="43"/>
      <c r="T74" s="43"/>
      <c r="U74" s="43"/>
    </row>
    <row r="75" spans="1:21" s="40" customFormat="1" ht="19.5" customHeight="1">
      <c r="A75" s="43"/>
      <c r="B75" s="43"/>
      <c r="C75" s="43"/>
      <c r="D75" s="43"/>
      <c r="E75" s="43"/>
      <c r="F75" s="43"/>
      <c r="G75" s="43"/>
      <c r="H75" s="43"/>
      <c r="I75" s="43"/>
      <c r="J75" s="43"/>
      <c r="K75" s="43"/>
      <c r="L75" s="43"/>
      <c r="M75" s="43"/>
      <c r="N75" s="43"/>
      <c r="O75" s="43"/>
      <c r="P75" s="43"/>
      <c r="Q75" s="43"/>
      <c r="R75" s="43"/>
      <c r="S75" s="43"/>
      <c r="T75" s="43"/>
      <c r="U75" s="43"/>
    </row>
    <row r="76" spans="1:21" s="40" customFormat="1" ht="19.5" customHeight="1">
      <c r="A76" s="43"/>
      <c r="B76" s="43"/>
      <c r="C76" s="43"/>
      <c r="D76" s="43"/>
      <c r="E76" s="43"/>
      <c r="F76" s="43"/>
      <c r="G76" s="43"/>
      <c r="H76" s="43"/>
      <c r="I76" s="43"/>
      <c r="J76" s="43"/>
      <c r="K76" s="43"/>
      <c r="L76" s="43"/>
      <c r="M76" s="43"/>
      <c r="N76" s="43"/>
      <c r="O76" s="43"/>
      <c r="P76" s="43"/>
      <c r="Q76" s="43"/>
      <c r="R76" s="43"/>
      <c r="S76" s="43"/>
      <c r="T76" s="43"/>
      <c r="U76" s="43"/>
    </row>
    <row r="77" spans="1:21" s="39" customFormat="1" ht="19.5" customHeight="1">
      <c r="A77" s="43"/>
      <c r="B77" s="43"/>
      <c r="C77" s="43"/>
      <c r="D77" s="43"/>
      <c r="E77" s="43"/>
      <c r="F77" s="43"/>
      <c r="G77" s="43"/>
      <c r="H77" s="43"/>
      <c r="I77" s="43"/>
      <c r="J77" s="43"/>
      <c r="K77" s="43"/>
      <c r="L77" s="43"/>
      <c r="M77" s="43"/>
      <c r="N77" s="43"/>
      <c r="O77" s="43"/>
      <c r="P77" s="43"/>
      <c r="Q77" s="43"/>
      <c r="R77" s="43"/>
      <c r="S77" s="43"/>
      <c r="T77" s="43"/>
      <c r="U77" s="43"/>
    </row>
    <row r="78" spans="1:21" s="39" customFormat="1" ht="19.5" customHeight="1">
      <c r="A78" s="43"/>
      <c r="B78" s="43"/>
      <c r="C78" s="43"/>
      <c r="D78" s="43"/>
      <c r="E78" s="43"/>
      <c r="F78" s="43"/>
      <c r="G78" s="43"/>
      <c r="H78" s="43"/>
      <c r="I78" s="43"/>
      <c r="J78" s="43"/>
      <c r="K78" s="43"/>
      <c r="L78" s="43"/>
      <c r="M78" s="43"/>
      <c r="N78" s="43"/>
      <c r="O78" s="43"/>
      <c r="P78" s="43"/>
      <c r="Q78" s="43"/>
      <c r="R78" s="43"/>
      <c r="S78" s="43"/>
      <c r="T78" s="43"/>
      <c r="U78" s="43"/>
    </row>
    <row r="79" s="40" customFormat="1" ht="19.5" customHeight="1"/>
    <row r="80" s="39" customFormat="1" ht="19.5" customHeight="1"/>
    <row r="81" s="40" customFormat="1" ht="19.5" customHeight="1"/>
    <row r="82" s="39" customFormat="1" ht="19.5" customHeight="1"/>
    <row r="83" s="40" customFormat="1" ht="19.5" customHeight="1"/>
    <row r="84" s="39" customFormat="1" ht="19.5" customHeight="1"/>
    <row r="85" s="39" customFormat="1" ht="19.5" customHeight="1"/>
    <row r="86" s="39" customFormat="1" ht="19.5" customHeight="1"/>
    <row r="87" s="39" customFormat="1" ht="19.5" customHeight="1"/>
    <row r="88" s="39" customFormat="1" ht="19.5" customHeight="1"/>
    <row r="89" s="39" customFormat="1" ht="19.5" customHeight="1"/>
    <row r="90" s="39" customFormat="1" ht="19.5" customHeight="1"/>
    <row r="91" s="39" customFormat="1" ht="19.5" customHeight="1"/>
    <row r="92" s="39" customFormat="1" ht="19.5" customHeight="1"/>
    <row r="93" s="39" customFormat="1" ht="19.5" customHeight="1"/>
    <row r="94" s="39" customFormat="1" ht="19.5" customHeight="1"/>
    <row r="95" s="39" customFormat="1" ht="19.5" customHeight="1"/>
    <row r="96" s="39" customFormat="1" ht="19.5" customHeight="1"/>
    <row r="97" s="39" customFormat="1" ht="19.5" customHeight="1"/>
    <row r="98" s="39" customFormat="1" ht="19.5" customHeight="1"/>
    <row r="99" s="39" customFormat="1" ht="19.5" customHeight="1"/>
    <row r="100" s="39" customFormat="1" ht="19.5" customHeight="1"/>
    <row r="101" s="39" customFormat="1" ht="19.5" customHeight="1"/>
    <row r="608" ht="15" customHeight="1"/>
  </sheetData>
  <sheetProtection password="EF77" sheet="1" objects="1" scenarios="1"/>
  <mergeCells count="15">
    <mergeCell ref="B33:O35"/>
    <mergeCell ref="I9:I10"/>
    <mergeCell ref="K9:M10"/>
    <mergeCell ref="B10:E10"/>
    <mergeCell ref="G23:I23"/>
    <mergeCell ref="B53:O54"/>
    <mergeCell ref="B6:R7"/>
    <mergeCell ref="B2:R4"/>
    <mergeCell ref="B37:O39"/>
    <mergeCell ref="B41:O43"/>
    <mergeCell ref="B47:O48"/>
    <mergeCell ref="B50:O51"/>
    <mergeCell ref="H12:H14"/>
    <mergeCell ref="B15:H15"/>
    <mergeCell ref="B16:H17"/>
  </mergeCells>
  <hyperlinks>
    <hyperlink ref="B9" r:id="rId1" display="www.guven-kutay.ch"/>
  </hyperlinks>
  <printOptions/>
  <pageMargins left="0.3937007874015748" right="0.3937007874015748" top="0.3937007874015748" bottom="0.3937007874015748" header="0.31496062992125984" footer="0.31496062992125984"/>
  <pageSetup horizontalDpi="600" verticalDpi="600" orientation="landscape" paperSize="9" scale="80" r:id="rId2"/>
  <headerFooter alignWithMargins="0">
    <oddFooter>&amp;L&amp;D/&amp;F/&amp;A&amp;R&amp;P / &amp;N</oddFooter>
  </headerFooter>
  <ignoredErrors>
    <ignoredError sqref="I13:I14" numberStoredAsText="1"/>
  </ignoredErrors>
</worksheet>
</file>

<file path=xl/worksheets/sheet2.xml><?xml version="1.0" encoding="utf-8"?>
<worksheet xmlns="http://schemas.openxmlformats.org/spreadsheetml/2006/main" xmlns:r="http://schemas.openxmlformats.org/officeDocument/2006/relationships">
  <dimension ref="A2:O77"/>
  <sheetViews>
    <sheetView showGridLines="0" showRowColHeaders="0" zoomScale="95" zoomScaleNormal="95" workbookViewId="0" topLeftCell="A1">
      <selection activeCell="I20" sqref="I20"/>
    </sheetView>
  </sheetViews>
  <sheetFormatPr defaultColWidth="11.5546875" defaultRowHeight="15"/>
  <cols>
    <col min="1" max="1" width="2.77734375" style="1" bestFit="1" customWidth="1"/>
    <col min="2" max="2" width="3.77734375" style="1" customWidth="1"/>
    <col min="3" max="3" width="1.99609375" style="1" customWidth="1"/>
    <col min="4" max="4" width="8.77734375" style="2" customWidth="1"/>
    <col min="5" max="15" width="8.77734375" style="1" customWidth="1"/>
    <col min="16" max="18" width="7.77734375" style="1" customWidth="1"/>
    <col min="19" max="16384" width="11.5546875" style="1" customWidth="1"/>
  </cols>
  <sheetData>
    <row r="1" ht="15" customHeight="1"/>
    <row r="2" ht="15" customHeight="1">
      <c r="B2" s="44" t="str">
        <f>IF(Info!$H$12&gt;2.5,D43,IF(Info!$H$12&gt;1.5,D33,C23))</f>
        <v>Giriş ve Kullanma talımatı:</v>
      </c>
    </row>
    <row r="3" ht="15" customHeight="1">
      <c r="B3" s="44"/>
    </row>
    <row r="4" spans="2:15" ht="31.5" customHeight="1">
      <c r="B4" s="69">
        <v>1</v>
      </c>
      <c r="D4" s="207" t="str">
        <f>IF(Info!$H$12&gt;2.5,D44,IF(Info!$H$12&gt;1.5,D34,D24))</f>
        <v>Bu programı bilgisayarınızda kendinize göre bir yere kopyasını çıkarınız. Hesap yapacağınız zaman bilgisayardaki programı kullanınız.</v>
      </c>
      <c r="E4" s="207"/>
      <c r="F4" s="207"/>
      <c r="G4" s="207"/>
      <c r="H4" s="207"/>
      <c r="I4" s="207"/>
      <c r="J4" s="207"/>
      <c r="K4" s="207"/>
      <c r="L4" s="207"/>
      <c r="M4" s="207"/>
      <c r="N4" s="207"/>
      <c r="O4" s="207"/>
    </row>
    <row r="5" ht="15" customHeight="1"/>
    <row r="6" spans="2:15" ht="33.75" customHeight="1">
      <c r="B6" s="69">
        <f>B4+1</f>
        <v>2</v>
      </c>
      <c r="D6" s="207" t="str">
        <f>IF(Info!$H$12&gt;2.5,D45,IF(Info!$H$12&gt;1.5,D35,D25))</f>
        <v>Kullanacağınız sayfaya gelince, hesaplamaya başlamadan önce, bütün mavi karelerdeki değerleri siliniz. Böylece dikkatsizlik yanlışı yapma imkanını ortadan kaldırmış olursunuz.</v>
      </c>
      <c r="E6" s="207"/>
      <c r="F6" s="207"/>
      <c r="G6" s="207"/>
      <c r="H6" s="207"/>
      <c r="I6" s="207"/>
      <c r="J6" s="207"/>
      <c r="K6" s="207"/>
      <c r="L6" s="207"/>
      <c r="M6" s="207"/>
      <c r="N6" s="207"/>
      <c r="O6" s="207"/>
    </row>
    <row r="7" spans="2:15" ht="15" customHeight="1">
      <c r="B7" s="70"/>
      <c r="E7" s="71"/>
      <c r="F7" s="71"/>
      <c r="G7" s="71"/>
      <c r="H7" s="71"/>
      <c r="I7" s="71"/>
      <c r="J7" s="71"/>
      <c r="K7" s="71"/>
      <c r="L7" s="71"/>
      <c r="M7" s="71"/>
      <c r="N7" s="71"/>
      <c r="O7" s="71"/>
    </row>
    <row r="8" spans="2:15" ht="30" customHeight="1">
      <c r="B8" s="69">
        <f>B6+1</f>
        <v>3</v>
      </c>
      <c r="D8" s="207" t="str">
        <f>IF(Info!$H$12&gt;2.5,D46,IF(Info!$H$12&gt;1.5,D36,D26))</f>
        <v>Sıra ile mavi karelere yapacağınız hesaba ait değerleri dikkatlice yerleştiriniz. Hesaplamalarınız için gerekli olmayan mavi karelere değerler yerleştirmek yanlış hesap sonuçlarına sebep olabilir. Dikkatli olmak gereklidir.</v>
      </c>
      <c r="E8" s="207"/>
      <c r="F8" s="207"/>
      <c r="G8" s="207"/>
      <c r="H8" s="207"/>
      <c r="I8" s="207"/>
      <c r="J8" s="207"/>
      <c r="K8" s="207"/>
      <c r="L8" s="207"/>
      <c r="M8" s="207"/>
      <c r="N8" s="207"/>
      <c r="O8" s="207"/>
    </row>
    <row r="9" spans="2:15" ht="15" customHeight="1">
      <c r="B9" s="69"/>
      <c r="E9" s="71"/>
      <c r="F9" s="71"/>
      <c r="G9" s="71"/>
      <c r="H9" s="71"/>
      <c r="I9" s="71"/>
      <c r="J9" s="71"/>
      <c r="K9" s="71"/>
      <c r="L9" s="71"/>
      <c r="M9" s="71"/>
      <c r="N9" s="71"/>
      <c r="O9" s="71"/>
    </row>
    <row r="10" spans="2:15" ht="45" customHeight="1">
      <c r="B10" s="69">
        <f>B8+1</f>
        <v>4</v>
      </c>
      <c r="D10" s="211" t="str">
        <f>IF(Info!$H$12&gt;2.5,D47,IF(Info!$H$12&gt;1.5,D37,D27))</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E10" s="211"/>
      <c r="F10" s="211"/>
      <c r="G10" s="211"/>
      <c r="H10" s="211"/>
      <c r="I10" s="211"/>
      <c r="J10" s="211"/>
      <c r="K10" s="211"/>
      <c r="L10" s="211"/>
      <c r="M10" s="211"/>
      <c r="N10" s="211"/>
      <c r="O10" s="211"/>
    </row>
    <row r="11" spans="2:15" ht="15" customHeight="1">
      <c r="B11" s="70"/>
      <c r="E11" s="71"/>
      <c r="F11" s="71"/>
      <c r="G11" s="71"/>
      <c r="H11" s="71"/>
      <c r="I11" s="71"/>
      <c r="J11" s="71"/>
      <c r="K11" s="71"/>
      <c r="L11" s="71"/>
      <c r="M11" s="71"/>
      <c r="N11" s="71"/>
      <c r="O11" s="71"/>
    </row>
    <row r="12" spans="2:15" ht="45" customHeight="1">
      <c r="B12" s="69">
        <f>B10+1</f>
        <v>5</v>
      </c>
      <c r="D12" s="211" t="str">
        <f>IF(Info!$H$12&gt;2.5,D48,IF(Info!$H$12&gt;1.5,D38,D28))</f>
        <v>Çoğu mavi karenin çevresinde değerlerin nereden alınması gerektiğini gösteren bilgi bulunmaktadır. Bu gösterilere uyulması hesapların doğruluğu açısından çok önemlidir.</v>
      </c>
      <c r="E12" s="211"/>
      <c r="F12" s="211"/>
      <c r="G12" s="211"/>
      <c r="H12" s="211"/>
      <c r="I12" s="211"/>
      <c r="J12" s="211"/>
      <c r="K12" s="211"/>
      <c r="L12" s="211"/>
      <c r="M12" s="211"/>
      <c r="N12" s="211"/>
      <c r="O12" s="211"/>
    </row>
    <row r="13" spans="2:15" ht="15" customHeight="1">
      <c r="B13" s="70"/>
      <c r="E13" s="71"/>
      <c r="F13" s="71"/>
      <c r="G13" s="71"/>
      <c r="H13" s="71"/>
      <c r="I13" s="71"/>
      <c r="J13" s="71"/>
      <c r="K13" s="71"/>
      <c r="L13" s="71"/>
      <c r="M13" s="71"/>
      <c r="N13" s="71"/>
      <c r="O13" s="71"/>
    </row>
    <row r="14" spans="2:15" ht="60" customHeight="1">
      <c r="B14" s="69">
        <f>B12+1</f>
        <v>6</v>
      </c>
      <c r="D14" s="211" t="str">
        <f>IF(Info!$H$12&gt;2.5,D49,IF(Info!$H$12&gt;1.5,D39,D29))</f>
        <v>Bazı karelere kitaptan alınması gereken bilgiler gereklidir ve nereden alınacağı tam olarak belirtilmemiştir. Bu durumda, hesapları bilinçli yapabilmek için, hesaba başlamadan önce zaman ayırıp kitapta verilen teoriyi ve gerekiyorsa başka literatürlerdende gerekli bilgileri edinmek avantajdır.</v>
      </c>
      <c r="E14" s="211"/>
      <c r="F14" s="211"/>
      <c r="G14" s="211"/>
      <c r="H14" s="211"/>
      <c r="I14" s="211"/>
      <c r="J14" s="211"/>
      <c r="K14" s="211"/>
      <c r="L14" s="211"/>
      <c r="M14" s="211"/>
      <c r="N14" s="211"/>
      <c r="O14" s="211"/>
    </row>
    <row r="15" spans="2:15" ht="15" customHeight="1">
      <c r="B15" s="70"/>
      <c r="E15" s="71"/>
      <c r="F15" s="71"/>
      <c r="G15" s="71"/>
      <c r="H15" s="71"/>
      <c r="I15" s="71"/>
      <c r="J15" s="71"/>
      <c r="K15" s="71"/>
      <c r="L15" s="71"/>
      <c r="M15" s="71"/>
      <c r="N15" s="71"/>
      <c r="O15" s="71"/>
    </row>
    <row r="16" spans="2:15" ht="75" customHeight="1">
      <c r="B16" s="69">
        <f>B14+1</f>
        <v>7</v>
      </c>
      <c r="D16" s="211" t="str">
        <f>IF(Info!$H$12&gt;2.5,D50,IF(Info!H12&gt;1.5,D40,D30))</f>
        <v>Genel olarak her hesap sayfasının sağ alt köşesinde program sonuçları bilgisayar tarafından değerlendirilir. Bu değerlendirme bilgi sayar tarafından yapılan mekanik bir değerlendirmedir. Konstruktör bu sonuçları kendi aklı selimi, yani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E16" s="211"/>
      <c r="F16" s="211"/>
      <c r="G16" s="211"/>
      <c r="H16" s="211"/>
      <c r="I16" s="211"/>
      <c r="J16" s="211"/>
      <c r="K16" s="211"/>
      <c r="L16" s="211"/>
      <c r="M16" s="211"/>
      <c r="N16" s="211"/>
      <c r="O16" s="211"/>
    </row>
    <row r="17" ht="15" customHeight="1">
      <c r="B17" s="70"/>
    </row>
    <row r="18" spans="2:15" ht="30" customHeight="1">
      <c r="B18" s="69">
        <f>B16+1</f>
        <v>8</v>
      </c>
      <c r="D18" s="207" t="str">
        <f>IF(Info!$H$12&gt;2.5,D51,IF(Info!$H$12&gt;1.5,D41,D31))</f>
        <v>Eğer cıvata hesaplamalarında özel bir konstruksiyonun hesabı gerekiyorsa veya öğrenmek istediğiniz bir şey varsa, hiç çekinmeden benimle temasa geçebilirsiniz. Bilgimin yettiği ve vaktimin olduğu kadar size memnuniyetle yardım ederim.</v>
      </c>
      <c r="E18" s="207"/>
      <c r="F18" s="207"/>
      <c r="G18" s="207"/>
      <c r="H18" s="207"/>
      <c r="I18" s="207"/>
      <c r="J18" s="207"/>
      <c r="K18" s="207"/>
      <c r="L18" s="207"/>
      <c r="M18" s="207"/>
      <c r="N18" s="207"/>
      <c r="O18" s="207"/>
    </row>
    <row r="19" ht="15" customHeight="1">
      <c r="B19" s="70"/>
    </row>
    <row r="20" spans="2:10" ht="15" customHeight="1">
      <c r="B20" s="70"/>
      <c r="D20" s="3"/>
      <c r="E20" s="72" t="str">
        <f>Info!B10</f>
        <v>e-mail :  info@guven-kutay.ch</v>
      </c>
      <c r="F20" s="34"/>
      <c r="G20" s="34"/>
      <c r="I20" s="72" t="str">
        <f>Info!B9</f>
        <v>www.guven-kutay.ch</v>
      </c>
      <c r="J20" s="72"/>
    </row>
    <row r="21" ht="15" customHeight="1" hidden="1">
      <c r="B21" s="70"/>
    </row>
    <row r="22" ht="15" customHeight="1" hidden="1">
      <c r="B22" s="70"/>
    </row>
    <row r="23" spans="1:15" ht="45" customHeight="1" hidden="1">
      <c r="A23" s="4" t="s">
        <v>75</v>
      </c>
      <c r="C23" s="2" t="s">
        <v>82</v>
      </c>
      <c r="E23" s="2"/>
      <c r="F23" s="2"/>
      <c r="G23" s="2"/>
      <c r="H23" s="2"/>
      <c r="I23" s="2"/>
      <c r="J23" s="2"/>
      <c r="K23" s="2"/>
      <c r="L23" s="2"/>
      <c r="M23" s="2"/>
      <c r="N23" s="2"/>
      <c r="O23" s="2"/>
    </row>
    <row r="24" spans="2:15" s="38" customFormat="1" ht="45" customHeight="1" hidden="1">
      <c r="B24" s="73">
        <v>1</v>
      </c>
      <c r="C24" s="74"/>
      <c r="D24" s="210" t="s">
        <v>83</v>
      </c>
      <c r="E24" s="210"/>
      <c r="F24" s="210"/>
      <c r="G24" s="210"/>
      <c r="H24" s="210"/>
      <c r="I24" s="210"/>
      <c r="J24" s="210"/>
      <c r="K24" s="210"/>
      <c r="L24" s="210"/>
      <c r="M24" s="210"/>
      <c r="N24" s="210"/>
      <c r="O24" s="210"/>
    </row>
    <row r="25" spans="2:15" s="38" customFormat="1" ht="45" customHeight="1" hidden="1">
      <c r="B25" s="73">
        <f>B24+1</f>
        <v>2</v>
      </c>
      <c r="D25" s="210" t="s">
        <v>84</v>
      </c>
      <c r="E25" s="210"/>
      <c r="F25" s="210"/>
      <c r="G25" s="210"/>
      <c r="H25" s="210"/>
      <c r="I25" s="210"/>
      <c r="J25" s="210"/>
      <c r="K25" s="210"/>
      <c r="L25" s="210"/>
      <c r="M25" s="210"/>
      <c r="N25" s="210"/>
      <c r="O25" s="210"/>
    </row>
    <row r="26" spans="2:15" s="38" customFormat="1" ht="45" customHeight="1" hidden="1">
      <c r="B26" s="73">
        <f aca="true" t="shared" si="0" ref="B26:B31">B25+1</f>
        <v>3</v>
      </c>
      <c r="D26" s="210" t="s">
        <v>85</v>
      </c>
      <c r="E26" s="210"/>
      <c r="F26" s="210"/>
      <c r="G26" s="210"/>
      <c r="H26" s="210"/>
      <c r="I26" s="210"/>
      <c r="J26" s="210"/>
      <c r="K26" s="210"/>
      <c r="L26" s="210"/>
      <c r="M26" s="210"/>
      <c r="N26" s="210"/>
      <c r="O26" s="210"/>
    </row>
    <row r="27" spans="2:15" s="38" customFormat="1" ht="45" customHeight="1" hidden="1">
      <c r="B27" s="73">
        <f t="shared" si="0"/>
        <v>4</v>
      </c>
      <c r="D27" s="210" t="s">
        <v>86</v>
      </c>
      <c r="E27" s="210"/>
      <c r="F27" s="210"/>
      <c r="G27" s="210"/>
      <c r="H27" s="210"/>
      <c r="I27" s="210"/>
      <c r="J27" s="210"/>
      <c r="K27" s="210"/>
      <c r="L27" s="210"/>
      <c r="M27" s="210"/>
      <c r="N27" s="210"/>
      <c r="O27" s="210"/>
    </row>
    <row r="28" spans="2:15" s="38" customFormat="1" ht="45" customHeight="1" hidden="1">
      <c r="B28" s="73">
        <f t="shared" si="0"/>
        <v>5</v>
      </c>
      <c r="D28" s="210" t="s">
        <v>87</v>
      </c>
      <c r="E28" s="210"/>
      <c r="F28" s="210"/>
      <c r="G28" s="210"/>
      <c r="H28" s="210"/>
      <c r="I28" s="210"/>
      <c r="J28" s="210"/>
      <c r="K28" s="210"/>
      <c r="L28" s="210"/>
      <c r="M28" s="210"/>
      <c r="N28" s="210"/>
      <c r="O28" s="210"/>
    </row>
    <row r="29" spans="2:15" s="38" customFormat="1" ht="48.75" customHeight="1" hidden="1">
      <c r="B29" s="73">
        <f t="shared" si="0"/>
        <v>6</v>
      </c>
      <c r="D29" s="210" t="s">
        <v>88</v>
      </c>
      <c r="E29" s="210"/>
      <c r="F29" s="210"/>
      <c r="G29" s="210"/>
      <c r="H29" s="210"/>
      <c r="I29" s="210"/>
      <c r="J29" s="210"/>
      <c r="K29" s="210"/>
      <c r="L29" s="210"/>
      <c r="M29" s="210"/>
      <c r="N29" s="210"/>
      <c r="O29" s="210"/>
    </row>
    <row r="30" spans="2:15" s="38" customFormat="1" ht="80.25" customHeight="1" hidden="1">
      <c r="B30" s="73">
        <f t="shared" si="0"/>
        <v>7</v>
      </c>
      <c r="D30" s="210" t="s">
        <v>89</v>
      </c>
      <c r="E30" s="210"/>
      <c r="F30" s="210"/>
      <c r="G30" s="210"/>
      <c r="H30" s="210"/>
      <c r="I30" s="210"/>
      <c r="J30" s="210"/>
      <c r="K30" s="210"/>
      <c r="L30" s="210"/>
      <c r="M30" s="210"/>
      <c r="N30" s="210"/>
      <c r="O30" s="210"/>
    </row>
    <row r="31" spans="2:15" s="38" customFormat="1" ht="48.75" customHeight="1" hidden="1">
      <c r="B31" s="73">
        <f t="shared" si="0"/>
        <v>8</v>
      </c>
      <c r="D31" s="210" t="s">
        <v>90</v>
      </c>
      <c r="E31" s="210"/>
      <c r="F31" s="210"/>
      <c r="G31" s="210"/>
      <c r="H31" s="210"/>
      <c r="I31" s="210"/>
      <c r="J31" s="210"/>
      <c r="K31" s="210"/>
      <c r="L31" s="210"/>
      <c r="M31" s="210"/>
      <c r="N31" s="210"/>
      <c r="O31" s="210"/>
    </row>
    <row r="32" spans="2:14" s="38" customFormat="1" ht="91.5" customHeight="1" hidden="1">
      <c r="B32" s="73"/>
      <c r="D32" s="74"/>
      <c r="E32" s="74"/>
      <c r="F32" s="74"/>
      <c r="G32" s="74"/>
      <c r="H32" s="74"/>
      <c r="I32" s="74"/>
      <c r="J32" s="74"/>
      <c r="K32" s="74"/>
      <c r="L32" s="74"/>
      <c r="M32" s="74"/>
      <c r="N32" s="74"/>
    </row>
    <row r="33" spans="1:14" s="38" customFormat="1" ht="45" customHeight="1" hidden="1">
      <c r="A33" s="38" t="s">
        <v>91</v>
      </c>
      <c r="D33" s="210" t="s">
        <v>92</v>
      </c>
      <c r="E33" s="210"/>
      <c r="F33" s="210"/>
      <c r="G33" s="210"/>
      <c r="H33" s="210"/>
      <c r="I33" s="210"/>
      <c r="J33" s="210"/>
      <c r="K33" s="210"/>
      <c r="L33" s="210"/>
      <c r="M33" s="210"/>
      <c r="N33" s="210"/>
    </row>
    <row r="34" spans="2:15" s="38" customFormat="1" ht="63" customHeight="1" hidden="1">
      <c r="B34" s="73">
        <v>1</v>
      </c>
      <c r="D34" s="210" t="s">
        <v>93</v>
      </c>
      <c r="E34" s="210"/>
      <c r="F34" s="210"/>
      <c r="G34" s="210"/>
      <c r="H34" s="210"/>
      <c r="I34" s="210"/>
      <c r="J34" s="210"/>
      <c r="K34" s="210"/>
      <c r="L34" s="210"/>
      <c r="M34" s="210"/>
      <c r="N34" s="210"/>
      <c r="O34" s="210"/>
    </row>
    <row r="35" spans="2:15" s="38" customFormat="1" ht="45" customHeight="1" hidden="1">
      <c r="B35" s="73">
        <f aca="true" t="shared" si="1" ref="B35:B40">B34+1</f>
        <v>2</v>
      </c>
      <c r="D35" s="210" t="s">
        <v>94</v>
      </c>
      <c r="E35" s="210"/>
      <c r="F35" s="210"/>
      <c r="G35" s="210"/>
      <c r="H35" s="210"/>
      <c r="I35" s="210"/>
      <c r="J35" s="210"/>
      <c r="K35" s="210"/>
      <c r="L35" s="210"/>
      <c r="M35" s="210"/>
      <c r="N35" s="210"/>
      <c r="O35" s="210"/>
    </row>
    <row r="36" spans="2:15" s="38" customFormat="1" ht="45" customHeight="1" hidden="1">
      <c r="B36" s="73">
        <f t="shared" si="1"/>
        <v>3</v>
      </c>
      <c r="D36" s="210" t="s">
        <v>95</v>
      </c>
      <c r="E36" s="210"/>
      <c r="F36" s="210"/>
      <c r="G36" s="210"/>
      <c r="H36" s="210"/>
      <c r="I36" s="210"/>
      <c r="J36" s="210"/>
      <c r="K36" s="210"/>
      <c r="L36" s="210"/>
      <c r="M36" s="210"/>
      <c r="N36" s="210"/>
      <c r="O36" s="210"/>
    </row>
    <row r="37" spans="2:15" s="38" customFormat="1" ht="45" customHeight="1" hidden="1">
      <c r="B37" s="73">
        <f t="shared" si="1"/>
        <v>4</v>
      </c>
      <c r="D37" s="210" t="s">
        <v>96</v>
      </c>
      <c r="E37" s="210"/>
      <c r="F37" s="210"/>
      <c r="G37" s="210"/>
      <c r="H37" s="210"/>
      <c r="I37" s="210"/>
      <c r="J37" s="210"/>
      <c r="K37" s="210"/>
      <c r="L37" s="210"/>
      <c r="M37" s="210"/>
      <c r="N37" s="210"/>
      <c r="O37" s="210"/>
    </row>
    <row r="38" spans="2:15" s="38" customFormat="1" ht="45" customHeight="1" hidden="1">
      <c r="B38" s="73">
        <f t="shared" si="1"/>
        <v>5</v>
      </c>
      <c r="D38" s="210" t="s">
        <v>97</v>
      </c>
      <c r="E38" s="210"/>
      <c r="F38" s="210"/>
      <c r="G38" s="210"/>
      <c r="H38" s="210"/>
      <c r="I38" s="210"/>
      <c r="J38" s="210"/>
      <c r="K38" s="210"/>
      <c r="L38" s="210"/>
      <c r="M38" s="210"/>
      <c r="N38" s="210"/>
      <c r="O38" s="210"/>
    </row>
    <row r="39" spans="2:15" s="38" customFormat="1" ht="45" customHeight="1" hidden="1">
      <c r="B39" s="73">
        <f t="shared" si="1"/>
        <v>6</v>
      </c>
      <c r="D39" s="210" t="s">
        <v>98</v>
      </c>
      <c r="E39" s="210"/>
      <c r="F39" s="210"/>
      <c r="G39" s="210"/>
      <c r="H39" s="210"/>
      <c r="I39" s="210"/>
      <c r="J39" s="210"/>
      <c r="K39" s="210"/>
      <c r="L39" s="210"/>
      <c r="M39" s="210"/>
      <c r="N39" s="210"/>
      <c r="O39" s="210"/>
    </row>
    <row r="40" spans="2:15" s="38" customFormat="1" ht="59.25" customHeight="1" hidden="1">
      <c r="B40" s="73">
        <f t="shared" si="1"/>
        <v>7</v>
      </c>
      <c r="D40" s="210" t="s">
        <v>99</v>
      </c>
      <c r="E40" s="210"/>
      <c r="F40" s="210"/>
      <c r="G40" s="210"/>
      <c r="H40" s="210"/>
      <c r="I40" s="210"/>
      <c r="J40" s="210"/>
      <c r="K40" s="210"/>
      <c r="L40" s="210"/>
      <c r="M40" s="210"/>
      <c r="N40" s="210"/>
      <c r="O40" s="210"/>
    </row>
    <row r="41" spans="2:15" s="38" customFormat="1" ht="45" customHeight="1" hidden="1">
      <c r="B41" s="75">
        <f>B31</f>
        <v>8</v>
      </c>
      <c r="D41" s="210" t="s">
        <v>100</v>
      </c>
      <c r="E41" s="210"/>
      <c r="F41" s="210"/>
      <c r="G41" s="210"/>
      <c r="H41" s="210"/>
      <c r="I41" s="210"/>
      <c r="J41" s="210"/>
      <c r="K41" s="210"/>
      <c r="L41" s="210"/>
      <c r="M41" s="210"/>
      <c r="N41" s="210"/>
      <c r="O41" s="210"/>
    </row>
    <row r="42" spans="4:14" s="38" customFormat="1" ht="103.5" customHeight="1" hidden="1">
      <c r="D42" s="74"/>
      <c r="E42" s="74"/>
      <c r="F42" s="74"/>
      <c r="G42" s="74"/>
      <c r="H42" s="74"/>
      <c r="I42" s="74"/>
      <c r="J42" s="74"/>
      <c r="K42" s="74"/>
      <c r="L42" s="74"/>
      <c r="M42" s="74"/>
      <c r="N42" s="74"/>
    </row>
    <row r="43" spans="1:14" s="38" customFormat="1" ht="45" customHeight="1" hidden="1">
      <c r="A43" s="38" t="s">
        <v>101</v>
      </c>
      <c r="D43" s="210" t="s">
        <v>102</v>
      </c>
      <c r="E43" s="210"/>
      <c r="F43" s="210"/>
      <c r="G43" s="210"/>
      <c r="H43" s="210"/>
      <c r="I43" s="210"/>
      <c r="J43" s="210"/>
      <c r="K43" s="210"/>
      <c r="L43" s="210"/>
      <c r="M43" s="210"/>
      <c r="N43" s="210"/>
    </row>
    <row r="44" spans="2:15" s="38" customFormat="1" ht="47.25" customHeight="1" hidden="1">
      <c r="B44" s="73">
        <v>1</v>
      </c>
      <c r="D44" s="210" t="s">
        <v>103</v>
      </c>
      <c r="E44" s="210"/>
      <c r="F44" s="210"/>
      <c r="G44" s="210"/>
      <c r="H44" s="210"/>
      <c r="I44" s="210"/>
      <c r="J44" s="210"/>
      <c r="K44" s="210"/>
      <c r="L44" s="210"/>
      <c r="M44" s="210"/>
      <c r="N44" s="210"/>
      <c r="O44" s="210"/>
    </row>
    <row r="45" spans="2:15" s="38" customFormat="1" ht="45" customHeight="1" hidden="1">
      <c r="B45" s="73">
        <f aca="true" t="shared" si="2" ref="B45:B50">B44+1</f>
        <v>2</v>
      </c>
      <c r="D45" s="210" t="s">
        <v>104</v>
      </c>
      <c r="E45" s="210"/>
      <c r="F45" s="210"/>
      <c r="G45" s="210"/>
      <c r="H45" s="210"/>
      <c r="I45" s="210"/>
      <c r="J45" s="210"/>
      <c r="K45" s="210"/>
      <c r="L45" s="210"/>
      <c r="M45" s="210"/>
      <c r="N45" s="210"/>
      <c r="O45" s="210"/>
    </row>
    <row r="46" spans="2:15" s="38" customFormat="1" ht="45" customHeight="1" hidden="1">
      <c r="B46" s="73">
        <f t="shared" si="2"/>
        <v>3</v>
      </c>
      <c r="D46" s="210" t="s">
        <v>105</v>
      </c>
      <c r="E46" s="210"/>
      <c r="F46" s="210"/>
      <c r="G46" s="210"/>
      <c r="H46" s="210"/>
      <c r="I46" s="210"/>
      <c r="J46" s="210"/>
      <c r="K46" s="210"/>
      <c r="L46" s="210"/>
      <c r="M46" s="210"/>
      <c r="N46" s="210"/>
      <c r="O46" s="210"/>
    </row>
    <row r="47" spans="2:15" s="38" customFormat="1" ht="45" customHeight="1" hidden="1">
      <c r="B47" s="73">
        <f t="shared" si="2"/>
        <v>4</v>
      </c>
      <c r="D47" s="210" t="s">
        <v>106</v>
      </c>
      <c r="E47" s="210"/>
      <c r="F47" s="210"/>
      <c r="G47" s="210"/>
      <c r="H47" s="210"/>
      <c r="I47" s="210"/>
      <c r="J47" s="210"/>
      <c r="K47" s="210"/>
      <c r="L47" s="210"/>
      <c r="M47" s="210"/>
      <c r="N47" s="210"/>
      <c r="O47" s="210"/>
    </row>
    <row r="48" spans="2:15" s="38" customFormat="1" ht="45" customHeight="1" hidden="1">
      <c r="B48" s="73">
        <f t="shared" si="2"/>
        <v>5</v>
      </c>
      <c r="D48" s="210" t="s">
        <v>107</v>
      </c>
      <c r="E48" s="210"/>
      <c r="F48" s="210"/>
      <c r="G48" s="210"/>
      <c r="H48" s="210"/>
      <c r="I48" s="210"/>
      <c r="J48" s="210"/>
      <c r="K48" s="210"/>
      <c r="L48" s="210"/>
      <c r="M48" s="210"/>
      <c r="N48" s="210"/>
      <c r="O48" s="210"/>
    </row>
    <row r="49" spans="2:15" s="38" customFormat="1" ht="45" customHeight="1" hidden="1">
      <c r="B49" s="73">
        <f t="shared" si="2"/>
        <v>6</v>
      </c>
      <c r="D49" s="210" t="s">
        <v>108</v>
      </c>
      <c r="E49" s="210"/>
      <c r="F49" s="210"/>
      <c r="G49" s="210"/>
      <c r="H49" s="210"/>
      <c r="I49" s="210"/>
      <c r="J49" s="210"/>
      <c r="K49" s="210"/>
      <c r="L49" s="210"/>
      <c r="M49" s="210"/>
      <c r="N49" s="210"/>
      <c r="O49" s="210"/>
    </row>
    <row r="50" spans="2:15" s="38" customFormat="1" ht="63.75" customHeight="1" hidden="1">
      <c r="B50" s="73">
        <f t="shared" si="2"/>
        <v>7</v>
      </c>
      <c r="D50" s="210" t="s">
        <v>109</v>
      </c>
      <c r="E50" s="210"/>
      <c r="F50" s="210"/>
      <c r="G50" s="210"/>
      <c r="H50" s="210"/>
      <c r="I50" s="210"/>
      <c r="J50" s="210"/>
      <c r="K50" s="210"/>
      <c r="L50" s="210"/>
      <c r="M50" s="210"/>
      <c r="N50" s="210"/>
      <c r="O50" s="210"/>
    </row>
    <row r="51" spans="2:15" s="38" customFormat="1" ht="45" customHeight="1" hidden="1">
      <c r="B51" s="75">
        <f>B41</f>
        <v>8</v>
      </c>
      <c r="D51" s="210" t="s">
        <v>110</v>
      </c>
      <c r="E51" s="210"/>
      <c r="F51" s="210"/>
      <c r="G51" s="210"/>
      <c r="H51" s="210"/>
      <c r="I51" s="210"/>
      <c r="J51" s="210"/>
      <c r="K51" s="210"/>
      <c r="L51" s="210"/>
      <c r="M51" s="210"/>
      <c r="N51" s="210"/>
      <c r="O51" s="210"/>
    </row>
    <row r="52" spans="5:14" ht="45" customHeight="1" hidden="1">
      <c r="E52" s="2"/>
      <c r="F52" s="2"/>
      <c r="G52" s="2"/>
      <c r="H52" s="2"/>
      <c r="I52" s="2"/>
      <c r="J52" s="2"/>
      <c r="K52" s="2"/>
      <c r="L52" s="2"/>
      <c r="M52" s="2"/>
      <c r="N52" s="2"/>
    </row>
    <row r="53" spans="5:14" ht="45" customHeight="1" hidden="1">
      <c r="E53" s="2"/>
      <c r="F53" s="2"/>
      <c r="G53" s="2"/>
      <c r="H53" s="2"/>
      <c r="I53" s="2"/>
      <c r="J53" s="2"/>
      <c r="K53" s="2"/>
      <c r="L53" s="2"/>
      <c r="M53" s="2"/>
      <c r="N53" s="2"/>
    </row>
    <row r="54" spans="5:14" ht="15" customHeight="1" hidden="1">
      <c r="E54" s="2"/>
      <c r="F54" s="2"/>
      <c r="G54" s="2"/>
      <c r="H54" s="2"/>
      <c r="I54" s="2"/>
      <c r="J54" s="2"/>
      <c r="K54" s="2"/>
      <c r="L54" s="2"/>
      <c r="M54" s="2"/>
      <c r="N54" s="2"/>
    </row>
    <row r="55" spans="5:14" ht="15" customHeight="1" hidden="1">
      <c r="E55" s="2"/>
      <c r="F55" s="2"/>
      <c r="G55" s="2"/>
      <c r="H55" s="2"/>
      <c r="I55" s="2"/>
      <c r="J55" s="2"/>
      <c r="K55" s="2"/>
      <c r="L55" s="2"/>
      <c r="M55" s="2"/>
      <c r="N55" s="2"/>
    </row>
    <row r="56" spans="5:14" ht="15" customHeight="1" hidden="1">
      <c r="E56" s="2"/>
      <c r="F56" s="2"/>
      <c r="G56" s="2"/>
      <c r="H56" s="2"/>
      <c r="I56" s="2"/>
      <c r="J56" s="2"/>
      <c r="K56" s="2"/>
      <c r="L56" s="2"/>
      <c r="M56" s="2"/>
      <c r="N56" s="2"/>
    </row>
    <row r="57" spans="5:14" ht="15" customHeight="1" hidden="1">
      <c r="E57" s="2"/>
      <c r="F57" s="2"/>
      <c r="G57" s="2"/>
      <c r="H57" s="2"/>
      <c r="I57" s="2"/>
      <c r="J57" s="2"/>
      <c r="K57" s="2"/>
      <c r="L57" s="2"/>
      <c r="M57" s="2"/>
      <c r="N57" s="2"/>
    </row>
    <row r="58" spans="5:14" ht="15" customHeight="1" hidden="1">
      <c r="E58" s="2"/>
      <c r="F58" s="2"/>
      <c r="G58" s="2"/>
      <c r="H58" s="2"/>
      <c r="I58" s="2"/>
      <c r="J58" s="2"/>
      <c r="K58" s="2"/>
      <c r="L58" s="2"/>
      <c r="M58" s="2"/>
      <c r="N58" s="2"/>
    </row>
    <row r="59" spans="5:14" ht="15" customHeight="1" hidden="1">
      <c r="E59" s="2"/>
      <c r="F59" s="2"/>
      <c r="G59" s="2"/>
      <c r="H59" s="2"/>
      <c r="I59" s="2"/>
      <c r="J59" s="2"/>
      <c r="K59" s="2"/>
      <c r="L59" s="2"/>
      <c r="M59" s="2"/>
      <c r="N59" s="2"/>
    </row>
    <row r="60" spans="5:14" ht="15" customHeight="1" hidden="1">
      <c r="E60" s="2"/>
      <c r="F60" s="2"/>
      <c r="G60" s="2"/>
      <c r="H60" s="2"/>
      <c r="I60" s="2"/>
      <c r="J60" s="2"/>
      <c r="K60" s="2"/>
      <c r="L60" s="2"/>
      <c r="M60" s="2"/>
      <c r="N60" s="2"/>
    </row>
    <row r="61" spans="5:14" ht="15" customHeight="1">
      <c r="E61" s="2"/>
      <c r="F61" s="2"/>
      <c r="G61" s="2"/>
      <c r="H61" s="2"/>
      <c r="I61" s="2"/>
      <c r="J61" s="2"/>
      <c r="K61" s="2"/>
      <c r="L61" s="2"/>
      <c r="M61" s="2"/>
      <c r="N61" s="2"/>
    </row>
    <row r="62" spans="5:14" ht="15" customHeight="1">
      <c r="E62" s="2"/>
      <c r="F62" s="2"/>
      <c r="G62" s="2"/>
      <c r="H62" s="2"/>
      <c r="I62" s="2"/>
      <c r="J62" s="2"/>
      <c r="K62" s="2"/>
      <c r="L62" s="2"/>
      <c r="M62" s="2"/>
      <c r="N62" s="2"/>
    </row>
    <row r="63" spans="5:14" ht="15" customHeight="1">
      <c r="E63" s="2"/>
      <c r="F63" s="2"/>
      <c r="G63" s="2"/>
      <c r="H63" s="2"/>
      <c r="I63" s="2"/>
      <c r="J63" s="2"/>
      <c r="K63" s="2"/>
      <c r="L63" s="2"/>
      <c r="M63" s="2"/>
      <c r="N63" s="2"/>
    </row>
    <row r="64" spans="5:14" ht="45" customHeight="1">
      <c r="E64" s="2"/>
      <c r="F64" s="2"/>
      <c r="G64" s="2"/>
      <c r="H64" s="2"/>
      <c r="I64" s="2"/>
      <c r="J64" s="2"/>
      <c r="K64" s="2"/>
      <c r="L64" s="2"/>
      <c r="M64" s="2"/>
      <c r="N64" s="2"/>
    </row>
    <row r="65" spans="5:14" ht="45" customHeight="1">
      <c r="E65" s="2"/>
      <c r="F65" s="2"/>
      <c r="G65" s="2"/>
      <c r="H65" s="2"/>
      <c r="I65" s="2"/>
      <c r="J65" s="2"/>
      <c r="K65" s="2"/>
      <c r="L65" s="2"/>
      <c r="M65" s="2"/>
      <c r="N65" s="2"/>
    </row>
    <row r="66" spans="5:14" ht="45" customHeight="1">
      <c r="E66" s="2"/>
      <c r="F66" s="2"/>
      <c r="G66" s="2"/>
      <c r="H66" s="2"/>
      <c r="I66" s="2"/>
      <c r="J66" s="2"/>
      <c r="K66" s="2"/>
      <c r="L66" s="2"/>
      <c r="M66" s="2"/>
      <c r="N66" s="2"/>
    </row>
    <row r="67" spans="5:14" ht="45" customHeight="1">
      <c r="E67" s="2"/>
      <c r="F67" s="2"/>
      <c r="G67" s="2"/>
      <c r="H67" s="2"/>
      <c r="I67" s="2"/>
      <c r="J67" s="2"/>
      <c r="K67" s="2"/>
      <c r="L67" s="2"/>
      <c r="M67" s="2"/>
      <c r="N67" s="2"/>
    </row>
    <row r="68" spans="5:14" ht="45" customHeight="1">
      <c r="E68" s="2"/>
      <c r="F68" s="2"/>
      <c r="G68" s="2"/>
      <c r="H68" s="2"/>
      <c r="I68" s="2"/>
      <c r="J68" s="2"/>
      <c r="K68" s="2"/>
      <c r="L68" s="2"/>
      <c r="M68" s="2"/>
      <c r="N68" s="2"/>
    </row>
    <row r="69" spans="5:14" ht="45" customHeight="1">
      <c r="E69" s="2"/>
      <c r="F69" s="2"/>
      <c r="G69" s="2"/>
      <c r="H69" s="2"/>
      <c r="I69" s="2"/>
      <c r="J69" s="2"/>
      <c r="K69" s="2"/>
      <c r="L69" s="2"/>
      <c r="M69" s="2"/>
      <c r="N69" s="2"/>
    </row>
    <row r="70" spans="5:14" ht="45" customHeight="1">
      <c r="E70" s="2"/>
      <c r="F70" s="2"/>
      <c r="G70" s="2"/>
      <c r="H70" s="2"/>
      <c r="I70" s="2"/>
      <c r="J70" s="2"/>
      <c r="K70" s="2"/>
      <c r="L70" s="2"/>
      <c r="M70" s="2"/>
      <c r="N70" s="2"/>
    </row>
    <row r="71" spans="5:14" ht="45" customHeight="1">
      <c r="E71" s="2"/>
      <c r="F71" s="2"/>
      <c r="G71" s="2"/>
      <c r="H71" s="2"/>
      <c r="I71" s="2"/>
      <c r="J71" s="2"/>
      <c r="K71" s="2"/>
      <c r="L71" s="2"/>
      <c r="M71" s="2"/>
      <c r="N71" s="2"/>
    </row>
    <row r="72" spans="5:14" ht="45" customHeight="1">
      <c r="E72" s="2"/>
      <c r="F72" s="2"/>
      <c r="G72" s="2"/>
      <c r="H72" s="2"/>
      <c r="I72" s="2"/>
      <c r="J72" s="2"/>
      <c r="K72" s="2"/>
      <c r="L72" s="2"/>
      <c r="M72" s="2"/>
      <c r="N72" s="2"/>
    </row>
    <row r="73" spans="5:14" ht="45" customHeight="1">
      <c r="E73" s="2"/>
      <c r="F73" s="2"/>
      <c r="G73" s="2"/>
      <c r="H73" s="2"/>
      <c r="I73" s="2"/>
      <c r="J73" s="2"/>
      <c r="K73" s="2"/>
      <c r="L73" s="2"/>
      <c r="M73" s="2"/>
      <c r="N73" s="2"/>
    </row>
    <row r="74" spans="5:14" ht="45" customHeight="1">
      <c r="E74" s="2"/>
      <c r="F74" s="2"/>
      <c r="G74" s="2"/>
      <c r="H74" s="2"/>
      <c r="I74" s="2"/>
      <c r="J74" s="2"/>
      <c r="K74" s="2"/>
      <c r="L74" s="2"/>
      <c r="M74" s="2"/>
      <c r="N74" s="2"/>
    </row>
    <row r="75" spans="5:14" ht="45" customHeight="1">
      <c r="E75" s="2"/>
      <c r="F75" s="2"/>
      <c r="G75" s="2"/>
      <c r="H75" s="2"/>
      <c r="I75" s="2"/>
      <c r="J75" s="2"/>
      <c r="K75" s="2"/>
      <c r="L75" s="2"/>
      <c r="M75" s="2"/>
      <c r="N75" s="2"/>
    </row>
    <row r="76" spans="5:14" ht="45" customHeight="1">
      <c r="E76" s="2"/>
      <c r="F76" s="2"/>
      <c r="G76" s="2"/>
      <c r="H76" s="2"/>
      <c r="I76" s="2"/>
      <c r="J76" s="2"/>
      <c r="K76" s="2"/>
      <c r="L76" s="2"/>
      <c r="M76" s="2"/>
      <c r="N76" s="2"/>
    </row>
    <row r="77" spans="5:14" ht="45" customHeight="1">
      <c r="E77" s="2"/>
      <c r="F77" s="2"/>
      <c r="G77" s="2"/>
      <c r="H77" s="2"/>
      <c r="I77" s="2"/>
      <c r="J77" s="2"/>
      <c r="K77" s="2"/>
      <c r="L77" s="2"/>
      <c r="M77" s="2"/>
      <c r="N77" s="2"/>
    </row>
    <row r="78" ht="45" customHeight="1"/>
    <row r="79" ht="45" customHeight="1"/>
    <row r="80" ht="45" customHeight="1"/>
    <row r="81" ht="45" customHeight="1"/>
    <row r="82" ht="45" customHeight="1"/>
    <row r="83" ht="45" customHeight="1"/>
    <row r="84" ht="45" customHeight="1"/>
    <row r="85" ht="45" customHeight="1"/>
    <row r="86" ht="45" customHeight="1"/>
    <row r="87" ht="45" customHeight="1"/>
  </sheetData>
  <sheetProtection password="EF77" sheet="1" objects="1" scenarios="1"/>
  <mergeCells count="34">
    <mergeCell ref="D4:O4"/>
    <mergeCell ref="D8:O8"/>
    <mergeCell ref="D10:O10"/>
    <mergeCell ref="D12:O12"/>
    <mergeCell ref="D14:O14"/>
    <mergeCell ref="D16:O16"/>
    <mergeCell ref="D18:O18"/>
    <mergeCell ref="D24:O24"/>
    <mergeCell ref="D25:O25"/>
    <mergeCell ref="D26:O26"/>
    <mergeCell ref="D27:O27"/>
    <mergeCell ref="D28:O28"/>
    <mergeCell ref="D29:O29"/>
    <mergeCell ref="D30:O30"/>
    <mergeCell ref="D31:O31"/>
    <mergeCell ref="D33:N33"/>
    <mergeCell ref="D34:O34"/>
    <mergeCell ref="D35:O35"/>
    <mergeCell ref="D36:O36"/>
    <mergeCell ref="D45:O45"/>
    <mergeCell ref="D37:O37"/>
    <mergeCell ref="D38:O38"/>
    <mergeCell ref="D39:O39"/>
    <mergeCell ref="D40:O40"/>
    <mergeCell ref="D50:O50"/>
    <mergeCell ref="D51:O51"/>
    <mergeCell ref="D6:O6"/>
    <mergeCell ref="D46:O46"/>
    <mergeCell ref="D47:O47"/>
    <mergeCell ref="D48:O48"/>
    <mergeCell ref="D49:O49"/>
    <mergeCell ref="D41:O41"/>
    <mergeCell ref="D43:N43"/>
    <mergeCell ref="D44:O44"/>
  </mergeCells>
  <printOptions/>
  <pageMargins left="0.7874015748031497" right="0.7874015748031497" top="0.7874015748031497" bottom="0.787401574803149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Q56"/>
  <sheetViews>
    <sheetView showGridLines="0" showRowColHeaders="0" zoomScale="90" zoomScaleNormal="90" workbookViewId="0" topLeftCell="A1">
      <selection activeCell="H25" sqref="H25"/>
    </sheetView>
  </sheetViews>
  <sheetFormatPr defaultColWidth="11.5546875" defaultRowHeight="15"/>
  <cols>
    <col min="1" max="1" width="2.21484375" style="1" customWidth="1"/>
    <col min="2" max="3" width="10.77734375" style="1" customWidth="1"/>
    <col min="4" max="4" width="12.88671875" style="1" customWidth="1"/>
    <col min="5" max="5" width="10.77734375" style="1" customWidth="1"/>
    <col min="6" max="6" width="12.99609375" style="1" customWidth="1"/>
    <col min="7" max="7" width="4.6640625" style="1" customWidth="1"/>
    <col min="8" max="8" width="9.3359375" style="1" customWidth="1"/>
    <col min="9" max="9" width="9.77734375" style="1" customWidth="1"/>
    <col min="10" max="10" width="8.10546875" style="1" customWidth="1"/>
    <col min="11" max="11" width="4.99609375" style="1" customWidth="1"/>
    <col min="12" max="12" width="15.3359375" style="1" customWidth="1"/>
    <col min="13" max="13" width="10.77734375" style="1" customWidth="1"/>
    <col min="14" max="14" width="9.5546875" style="2" customWidth="1"/>
    <col min="15" max="15" width="7.5546875" style="2" customWidth="1"/>
    <col min="16" max="16" width="4.77734375" style="2" customWidth="1"/>
    <col min="17" max="17" width="5.99609375" style="2" customWidth="1"/>
    <col min="18" max="16384" width="11.5546875" style="1" customWidth="1"/>
  </cols>
  <sheetData>
    <row r="1" spans="2:13" ht="19.5" customHeight="1">
      <c r="B1" s="76" t="str">
        <f>Info!B9</f>
        <v>www.guven-kutay.ch</v>
      </c>
      <c r="F1"/>
      <c r="G1"/>
      <c r="H1"/>
      <c r="I1"/>
      <c r="K1" s="77"/>
      <c r="L1" s="77"/>
      <c r="M1" s="2" t="str">
        <f>Info!B11</f>
        <v>Copyright : M. G. Kutay , Ver 09.01</v>
      </c>
    </row>
    <row r="2" ht="6" customHeight="1"/>
    <row r="3" spans="1:17" ht="16.5" customHeight="1">
      <c r="A3" s="4"/>
      <c r="D3" s="3" t="str">
        <f>IF(Info!$H$12&gt;2.5,"Construction: Box section ",IF(Info!$H$12&gt;1.5,"Konstruktion: Kasten-Träger ",IF(Info!$H$12&gt;0.5,"Konstruksiyon : Kutu kiriş","")))</f>
        <v>Konstruksiyon : Kutu kiriş</v>
      </c>
      <c r="E3" s="212"/>
      <c r="F3" s="212"/>
      <c r="G3" s="212"/>
      <c r="H3" s="212"/>
      <c r="I3" s="212"/>
      <c r="J3" s="212"/>
      <c r="K3" s="212"/>
      <c r="L3" s="212"/>
      <c r="M3" s="212"/>
      <c r="N3" s="212"/>
      <c r="O3"/>
      <c r="P3"/>
      <c r="Q3" s="23"/>
    </row>
    <row r="4" spans="1:17" ht="10.5" customHeight="1">
      <c r="A4" s="7"/>
      <c r="B4" s="35"/>
      <c r="C4" s="41"/>
      <c r="D4" s="82"/>
      <c r="E4" s="82"/>
      <c r="F4" s="82"/>
      <c r="G4" s="82"/>
      <c r="H4" s="82"/>
      <c r="I4" s="82"/>
      <c r="J4" s="82"/>
      <c r="K4" s="82"/>
      <c r="L4" s="82"/>
      <c r="M4" s="82"/>
      <c r="N4" s="82"/>
      <c r="O4" s="82"/>
      <c r="P4" s="82"/>
      <c r="Q4" s="83"/>
    </row>
    <row r="5" spans="1:17" ht="19.5" customHeight="1">
      <c r="A5" s="4"/>
      <c r="B5" s="41" t="str">
        <f>IF(Info!$H$12&gt;2.5,"Date : ",IF(Info!$H$12&gt;1.5,"Datum : ",IF(Info!$H$12&gt;0.5,"Tarih :","")))</f>
        <v>Tarih :</v>
      </c>
      <c r="C5" s="5"/>
      <c r="D5" s="105" t="str">
        <f>IF(Info!$H$12&gt;2.5,"Calculated :",IF(Info!$H$12&gt;1.5,"Berechnet  : ",IF(Info!$H$12&gt;0.5,"Hesaplayan :","")))</f>
        <v>Hesaplayan :</v>
      </c>
      <c r="E5" s="212"/>
      <c r="F5" s="212"/>
      <c r="G5" s="212"/>
      <c r="H5" s="212"/>
      <c r="J5" s="23"/>
      <c r="K5" s="23"/>
      <c r="L5" s="20" t="str">
        <f>IF(Info!$H$12&gt;2.5,"Initials ",IF(Info!$H$12&gt;1.5,"Visum: ",IF(Info!$H$12&gt;0.5,"İmza:","")))</f>
        <v>İmza:</v>
      </c>
      <c r="M5" s="21"/>
      <c r="N5" s="21"/>
      <c r="P5" s="23"/>
      <c r="Q5" s="23"/>
    </row>
    <row r="6" spans="2:17" ht="8.25" customHeight="1">
      <c r="B6" s="23"/>
      <c r="C6" s="23"/>
      <c r="F6" s="7"/>
      <c r="G6" s="7"/>
      <c r="H6" s="7"/>
      <c r="I6" s="7"/>
      <c r="J6" s="7"/>
      <c r="K6" s="7"/>
      <c r="L6" s="7"/>
      <c r="M6" s="7"/>
      <c r="N6" s="22"/>
      <c r="O6" s="22"/>
      <c r="P6" s="22"/>
      <c r="Q6" s="22"/>
    </row>
    <row r="7" spans="2:5" ht="18.75" customHeight="1">
      <c r="B7" s="23"/>
      <c r="C7" s="23"/>
      <c r="D7" s="23"/>
      <c r="E7" s="23"/>
    </row>
    <row r="8" spans="2:13" ht="18.75" customHeight="1">
      <c r="B8" s="23"/>
      <c r="C8" s="23"/>
      <c r="D8" s="23"/>
      <c r="E8" s="23"/>
      <c r="H8" s="3" t="str">
        <f>IF(Info!$H$12&gt;2.5,"Type of beam :",IF(Info!$H$12&gt;1.5,"Träger typ :","Kiriş tipi :"))</f>
        <v>Kiriş tipi :</v>
      </c>
      <c r="I8" s="214" t="s">
        <v>170</v>
      </c>
      <c r="J8" s="214"/>
      <c r="K8" s="214"/>
      <c r="L8" s="215"/>
      <c r="M8" s="85" t="s">
        <v>173</v>
      </c>
    </row>
    <row r="9" spans="2:13" ht="18.75" customHeight="1">
      <c r="B9" s="23"/>
      <c r="C9" s="23"/>
      <c r="D9" s="23"/>
      <c r="E9" s="23"/>
      <c r="G9" s="8">
        <v>1</v>
      </c>
      <c r="H9" s="13" t="str">
        <f>IF(Info!$H$12&gt;2.5,"Dimension of parts",IF(Info!$H$12&gt;1.5,"Abmessungen der Teile ","Parçaların ölçüleri"))</f>
        <v>Parçaların ölçüleri</v>
      </c>
      <c r="I9" s="9"/>
      <c r="J9" s="9"/>
      <c r="K9" s="2"/>
      <c r="L9" s="2"/>
      <c r="M9" s="2"/>
    </row>
    <row r="10" spans="2:14" ht="18.75" customHeight="1">
      <c r="B10" s="23"/>
      <c r="C10" s="23"/>
      <c r="D10" s="23"/>
      <c r="E10" s="23"/>
      <c r="H10" s="12" t="s">
        <v>10</v>
      </c>
      <c r="I10" s="147">
        <v>29</v>
      </c>
      <c r="J10" s="78" t="s">
        <v>113</v>
      </c>
      <c r="K10" s="24"/>
      <c r="L10" s="12" t="s">
        <v>11</v>
      </c>
      <c r="M10" s="14">
        <v>1</v>
      </c>
      <c r="N10" s="78" t="str">
        <f aca="true" t="shared" si="0" ref="N10:N15">J10</f>
        <v>cm</v>
      </c>
    </row>
    <row r="11" spans="2:14" ht="18.75" customHeight="1">
      <c r="B11" s="23"/>
      <c r="C11" s="23"/>
      <c r="D11" s="23"/>
      <c r="E11" s="23"/>
      <c r="H11" s="12" t="s">
        <v>14</v>
      </c>
      <c r="I11" s="109">
        <f>I10</f>
        <v>29</v>
      </c>
      <c r="J11" s="78" t="s">
        <v>113</v>
      </c>
      <c r="K11" s="24"/>
      <c r="L11" s="12" t="s">
        <v>15</v>
      </c>
      <c r="M11" s="14">
        <v>1</v>
      </c>
      <c r="N11" s="78" t="str">
        <f t="shared" si="0"/>
        <v>cm</v>
      </c>
    </row>
    <row r="12" spans="2:14" ht="18.75" customHeight="1">
      <c r="B12" s="23"/>
      <c r="C12" s="23"/>
      <c r="D12" s="23"/>
      <c r="E12" s="23"/>
      <c r="H12" s="12" t="s">
        <v>13</v>
      </c>
      <c r="I12" s="147">
        <v>69</v>
      </c>
      <c r="J12" s="78" t="s">
        <v>113</v>
      </c>
      <c r="K12" s="24"/>
      <c r="L12" s="12" t="s">
        <v>12</v>
      </c>
      <c r="M12" s="14">
        <v>0.6</v>
      </c>
      <c r="N12" s="78" t="str">
        <f t="shared" si="0"/>
        <v>cm</v>
      </c>
    </row>
    <row r="13" spans="2:14" ht="18.75" customHeight="1">
      <c r="B13" s="23"/>
      <c r="C13" s="23"/>
      <c r="D13" s="23"/>
      <c r="E13" s="23"/>
      <c r="H13" s="12" t="s">
        <v>17</v>
      </c>
      <c r="I13" s="109">
        <f>I12</f>
        <v>69</v>
      </c>
      <c r="J13" s="78" t="s">
        <v>113</v>
      </c>
      <c r="K13" s="24"/>
      <c r="L13" s="12" t="s">
        <v>16</v>
      </c>
      <c r="M13" s="14">
        <v>0.6</v>
      </c>
      <c r="N13" s="78" t="str">
        <f t="shared" si="0"/>
        <v>cm</v>
      </c>
    </row>
    <row r="14" spans="2:14" ht="18.75" customHeight="1">
      <c r="B14" s="23"/>
      <c r="C14" s="23"/>
      <c r="D14" s="23"/>
      <c r="E14" s="23"/>
      <c r="H14" s="12" t="s">
        <v>18</v>
      </c>
      <c r="I14" s="148">
        <v>4</v>
      </c>
      <c r="J14" s="78" t="s">
        <v>113</v>
      </c>
      <c r="K14" s="24"/>
      <c r="L14" s="12" t="s">
        <v>19</v>
      </c>
      <c r="M14" s="14">
        <v>4</v>
      </c>
      <c r="N14" s="78" t="str">
        <f t="shared" si="0"/>
        <v>cm</v>
      </c>
    </row>
    <row r="15" spans="2:14" ht="18.75" customHeight="1">
      <c r="B15" s="23"/>
      <c r="C15" s="23"/>
      <c r="D15" s="23"/>
      <c r="E15" s="23"/>
      <c r="F15" s="23"/>
      <c r="H15" s="12" t="s">
        <v>20</v>
      </c>
      <c r="I15" s="148">
        <v>3</v>
      </c>
      <c r="J15" s="78" t="s">
        <v>113</v>
      </c>
      <c r="K15" s="24"/>
      <c r="L15" s="12" t="s">
        <v>112</v>
      </c>
      <c r="M15" s="14">
        <v>5</v>
      </c>
      <c r="N15" s="78" t="str">
        <f t="shared" si="0"/>
        <v>cm</v>
      </c>
    </row>
    <row r="16" spans="2:14" ht="18.75" customHeight="1">
      <c r="B16" s="23"/>
      <c r="C16" s="23"/>
      <c r="D16" s="23"/>
      <c r="E16" s="23"/>
      <c r="F16" s="23"/>
      <c r="H16" s="10" t="str">
        <f>IF(Info!$H$12&gt;2.5,"Length of beam ",IF(Info!$H$12&gt;1.5,"Trägerlänge",IF(Info!$H$12&gt;0.5,"Kiriş boyu","")))</f>
        <v>Kiriş boyu</v>
      </c>
      <c r="I16" s="84">
        <v>15</v>
      </c>
      <c r="J16" s="80" t="s">
        <v>117</v>
      </c>
      <c r="L16" s="12" t="str">
        <f>IF(Info!$H$12&gt;2.5,"Cost of material  ",IF(Info!$H$12&gt;1.5,"Einheitskosten",IF(Info!$H$12&gt;0.5,"Malzemenin fiatı","")))</f>
        <v>Malzemenin fiatı</v>
      </c>
      <c r="M16" s="84">
        <v>2.75</v>
      </c>
      <c r="N16" s="81" t="str">
        <f>C26</f>
        <v>TL/kg</v>
      </c>
    </row>
    <row r="17" spans="2:14" ht="18.75" customHeight="1">
      <c r="B17" s="23"/>
      <c r="C17" s="23"/>
      <c r="D17" s="23"/>
      <c r="E17" s="23"/>
      <c r="F17" s="23"/>
      <c r="H17" s="12" t="s">
        <v>189</v>
      </c>
      <c r="I17" s="182">
        <v>40</v>
      </c>
      <c r="J17" s="12" t="s">
        <v>56</v>
      </c>
      <c r="K17" s="12"/>
      <c r="L17" s="12" t="str">
        <f>IF(Info!$H$12&gt;2.5,"Cost of processing",IF(Info!$H$12&gt;1.5,"Bearbeitungspreis",IF(Info!$H$12&gt;0.5,"İşcilik ücreti","")))</f>
        <v>İşcilik ücreti</v>
      </c>
      <c r="M17" s="84">
        <v>4</v>
      </c>
      <c r="N17" s="80" t="str">
        <f>C26</f>
        <v>TL/kg</v>
      </c>
    </row>
    <row r="18" spans="2:14" ht="18.75" customHeight="1">
      <c r="B18" s="23"/>
      <c r="C18" s="23"/>
      <c r="D18" s="23"/>
      <c r="E18" s="23"/>
      <c r="F18" s="23"/>
      <c r="H18" s="12" t="s">
        <v>191</v>
      </c>
      <c r="I18" s="182">
        <v>2</v>
      </c>
      <c r="J18" s="12" t="s">
        <v>117</v>
      </c>
      <c r="K18" s="12"/>
      <c r="L18" s="12"/>
      <c r="M18" s="179"/>
      <c r="N18" s="80"/>
    </row>
    <row r="19" spans="2:13" ht="18.75" customHeight="1">
      <c r="B19" s="23"/>
      <c r="C19" s="23"/>
      <c r="D19" s="23"/>
      <c r="E19" s="23"/>
      <c r="F19" s="23"/>
      <c r="G19" s="8">
        <f>G9+1</f>
        <v>2</v>
      </c>
      <c r="H19" s="13" t="str">
        <f>IF(Info!$H$12&gt;2.5,"Moment of inertia of beam",IF(Info!$H$12&gt;1.5,"Trägheitsmoment des Trägers",IF(Info!$H$12&gt;0.5,"Kirişin eylemsizlik momenti","")))</f>
        <v>Kirişin eylemsizlik momenti</v>
      </c>
      <c r="I19" s="2"/>
      <c r="J19" s="2"/>
      <c r="K19" s="2"/>
      <c r="L19" s="2"/>
      <c r="M19" s="2"/>
    </row>
    <row r="20" spans="2:17" ht="18.75" customHeight="1">
      <c r="B20" s="23"/>
      <c r="C20" s="23"/>
      <c r="D20" s="23"/>
      <c r="E20" s="23"/>
      <c r="F20" s="23"/>
      <c r="G20" s="2"/>
      <c r="H20" s="10" t="s">
        <v>6</v>
      </c>
      <c r="I20" s="110">
        <f>((J48+J49+J50+J51+J52)+(O41^2*C48+O42^2*F48+O43^2*C49+O44^2*F49+O45^2*C50))</f>
        <v>124131.14829931973</v>
      </c>
      <c r="J20" s="24" t="s">
        <v>174</v>
      </c>
      <c r="K20" s="24"/>
      <c r="L20" s="10" t="s">
        <v>8</v>
      </c>
      <c r="M20" s="110">
        <f>((O48+O49+O50+O51+O52)+(J41^2*C48+J42^2*F48+J43^2*C49+J44^2*F49+J45^2*C50))</f>
        <v>16277.322666666667</v>
      </c>
      <c r="N20" s="24" t="s">
        <v>174</v>
      </c>
      <c r="O20" s="23"/>
      <c r="P20" s="23"/>
      <c r="Q20" s="23"/>
    </row>
    <row r="21" spans="2:13" ht="18.75" customHeight="1">
      <c r="B21" s="23"/>
      <c r="C21" s="23"/>
      <c r="D21" s="23"/>
      <c r="E21" s="23"/>
      <c r="F21" s="23"/>
      <c r="G21" s="8">
        <f>G19+1</f>
        <v>3</v>
      </c>
      <c r="H21" s="13" t="str">
        <f>IF(Info!$H$12&gt;2.5,"Section modulus of beam ",IF(Info!$H$12&gt;1.5,"Widerstandsmoment des Trägers",IF(Info!$H$12&gt;0.5,"Kirişin mukavement momenti","")))</f>
        <v>Kirişin mukavement momenti</v>
      </c>
      <c r="I21" s="2"/>
      <c r="J21" s="2"/>
      <c r="K21" s="2"/>
      <c r="L21" s="2"/>
      <c r="M21" s="2"/>
    </row>
    <row r="22" spans="1:14" ht="18.75" customHeight="1">
      <c r="A22" s="4"/>
      <c r="B22" s="23"/>
      <c r="C22" s="23"/>
      <c r="D22" s="23"/>
      <c r="E22" s="23"/>
      <c r="F22" s="23"/>
      <c r="G22" s="2"/>
      <c r="H22" s="10" t="s">
        <v>7</v>
      </c>
      <c r="I22" s="110">
        <f>I20/IF(C40&gt;F40,C40,F40)</f>
        <v>3156.4225566510986</v>
      </c>
      <c r="J22" s="24" t="s">
        <v>175</v>
      </c>
      <c r="K22" s="24"/>
      <c r="L22" s="10" t="s">
        <v>9</v>
      </c>
      <c r="M22" s="110">
        <f>M20/IF(J46&gt;O46,J46,O46)</f>
        <v>1040.5594398782346</v>
      </c>
      <c r="N22" s="24" t="s">
        <v>175</v>
      </c>
    </row>
    <row r="23" spans="1:14" ht="18.75" customHeight="1">
      <c r="A23" s="4"/>
      <c r="B23" s="23"/>
      <c r="C23" s="23"/>
      <c r="D23" s="23"/>
      <c r="E23" s="23"/>
      <c r="F23" s="23"/>
      <c r="G23" s="8">
        <f>G21+1</f>
        <v>4</v>
      </c>
      <c r="H23" s="13" t="str">
        <f>IF(Info!$H$12&gt;2.5,"Weight and cost of material ",IF(Info!$H$12&gt;1.5,"Gewicht und Kosten des Werkstoffes ",IF(Info!$H$12&gt;0.5,"Malzemenin ağırlığı ve parasal değeri","")))</f>
        <v>Malzemenin ağırlığı ve parasal değeri</v>
      </c>
      <c r="I23" s="13"/>
      <c r="J23" s="13"/>
      <c r="N23" s="23"/>
    </row>
    <row r="24" spans="1:14" ht="18.75" customHeight="1">
      <c r="A24" s="4"/>
      <c r="H24" s="10" t="str">
        <f>IF(Info!$H$12&gt;2.5,"Mass per unit area of beam",IF(Info!$H$12&gt;1.5,"Einheitsgewicht des Trägers",IF(Info!$H$12&gt;0.5,"Kiriş birim ağırlığı","")))</f>
        <v>Kiriş birim ağırlığı</v>
      </c>
      <c r="I24" s="10"/>
      <c r="J24" s="10"/>
      <c r="K24" s="18"/>
      <c r="L24" s="12"/>
      <c r="M24" s="152">
        <f>J54</f>
        <v>130.066336</v>
      </c>
      <c r="N24" s="79" t="s">
        <v>56</v>
      </c>
    </row>
    <row r="25" spans="1:14" ht="18.75" customHeight="1">
      <c r="A25" s="4"/>
      <c r="G25" s="22"/>
      <c r="H25" s="18" t="str">
        <f>IF(Info!$H$12&gt;2.5,"2xWeight of beam",IF(Info!$H$12&gt;1.5,"2xTrägergewicht",IF(Info!$H$12&gt;0.5,"2 Kiriş ve platformun ağırlığı","")))</f>
        <v>2 Kiriş ve platformun ağırlığı</v>
      </c>
      <c r="I25" s="18"/>
      <c r="J25" s="18"/>
      <c r="K25" s="18"/>
      <c r="L25" s="12"/>
      <c r="M25" s="108">
        <f>(2*M24+I17)*I16*1.03</f>
        <v>4637.0497824</v>
      </c>
      <c r="N25" s="80" t="s">
        <v>57</v>
      </c>
    </row>
    <row r="26" spans="1:14" ht="18.75" customHeight="1">
      <c r="A26" s="4"/>
      <c r="B26" s="3" t="str">
        <f>D27</f>
        <v>Para birimi :</v>
      </c>
      <c r="C26" s="178" t="str">
        <f>IF(E27=E30,"EU/kg",IF(E27=E29,"$/kg","TL/kg"))</f>
        <v>TL/kg</v>
      </c>
      <c r="G26" s="22"/>
      <c r="H26" s="12" t="str">
        <f>IF(Info!$H$12&gt;2.5,"Cost of material",IF(Info!$H$12&gt;1.5,"Werkstoffkosten",IF(Info!$H$12&gt;0.5,"Malzemenin fiatı","")))</f>
        <v>Malzemenin fiatı</v>
      </c>
      <c r="I26" s="12"/>
      <c r="J26" s="12"/>
      <c r="K26" s="67"/>
      <c r="L26" s="12"/>
      <c r="M26" s="108">
        <f>M25*M16</f>
        <v>12751.8869016</v>
      </c>
      <c r="N26" s="80" t="str">
        <f>E27</f>
        <v>TL</v>
      </c>
    </row>
    <row r="27" spans="1:13" ht="18.75" customHeight="1">
      <c r="A27" s="4"/>
      <c r="D27" s="3" t="str">
        <f>IF(Info!$H$12&gt;2.5,"Unit of currency :",IF(Info!$H$12&gt;1.5,"Währungseinheit : ",IF(Info!$H$12&gt;0.5,"Para birimi :","")))</f>
        <v>Para birimi :</v>
      </c>
      <c r="E27" s="28" t="s">
        <v>63</v>
      </c>
      <c r="F27" s="23"/>
      <c r="G27" s="8">
        <f>G23+1</f>
        <v>5</v>
      </c>
      <c r="H27" s="13" t="str">
        <f>IF(Info!$H$12&gt;2.5,"Cost of  beam ",IF(Info!$H$12&gt;1.5,"Gesamtkosten des Trägers",IF(Info!$H$12&gt;0.5,"Kirişin toplam parasal değeri","")))</f>
        <v>Kirişin toplam parasal değeri</v>
      </c>
      <c r="I27" s="13"/>
      <c r="J27" s="13"/>
      <c r="K27" s="2"/>
      <c r="L27" s="21"/>
      <c r="M27" s="2"/>
    </row>
    <row r="28" spans="1:14" ht="18.75" customHeight="1">
      <c r="A28" s="4"/>
      <c r="C28" s="29" t="s">
        <v>63</v>
      </c>
      <c r="D28" s="104" t="str">
        <f>IF(Info!$H$12&gt;2.5,"Türkish lira :",IF(Info!$H$12&gt;1.5,"Türkische Lira : ",IF(Info!$H$12&gt;0.5,"Türk lirası :","")))</f>
        <v>Türk lirası :</v>
      </c>
      <c r="E28" s="29" t="s">
        <v>63</v>
      </c>
      <c r="F28" s="22"/>
      <c r="G28" s="2"/>
      <c r="H28" s="12" t="str">
        <f>IF(Info!$H$12&gt;2.5,"Cost per unit area ",IF(Info!$H$12&gt;1.5,"Gesamteinheitskosten",IF(Info!$H$12&gt;0.5,"Toplam birim fiatı","")))</f>
        <v>Toplam birim fiatı</v>
      </c>
      <c r="I28" s="12"/>
      <c r="J28" s="12"/>
      <c r="K28" s="67"/>
      <c r="L28" s="12"/>
      <c r="M28" s="25">
        <f>M16+M17</f>
        <v>6.75</v>
      </c>
      <c r="N28" s="80" t="str">
        <f>C26</f>
        <v>TL/kg</v>
      </c>
    </row>
    <row r="29" spans="1:14" ht="18.75" customHeight="1">
      <c r="A29" s="4"/>
      <c r="B29" s="23"/>
      <c r="C29" s="29" t="s">
        <v>64</v>
      </c>
      <c r="D29" s="104" t="s">
        <v>65</v>
      </c>
      <c r="E29" s="29" t="s">
        <v>64</v>
      </c>
      <c r="F29" s="22"/>
      <c r="G29" s="2"/>
      <c r="H29" s="12" t="str">
        <f>IF(Info!$H$12&gt;2.5,"Complete cost",IF(Info!$H$12&gt;1.5,"Gesamtkosten",IF(Info!$H$12&gt;0.5,"Toplam fiatı","")))</f>
        <v>Toplam fiatı</v>
      </c>
      <c r="I29" s="12"/>
      <c r="J29" s="12"/>
      <c r="K29" s="18"/>
      <c r="L29" s="12"/>
      <c r="M29" s="154">
        <f>M28*M25</f>
        <v>31300.086031200004</v>
      </c>
      <c r="N29" s="80" t="str">
        <f>E27</f>
        <v>TL</v>
      </c>
    </row>
    <row r="30" spans="1:14" ht="18.75" customHeight="1">
      <c r="A30" s="4"/>
      <c r="B30" s="22"/>
      <c r="C30" s="29" t="s">
        <v>66</v>
      </c>
      <c r="D30" s="106" t="str">
        <f>IF(Info!$H$12&gt;2.5,"Euro",IF(Info!$H$12&gt;1.5,"Euro",IF(Info!$H$12&gt;0.5,"Avro","")))</f>
        <v>Avro</v>
      </c>
      <c r="E30" s="29" t="s">
        <v>66</v>
      </c>
      <c r="F30" s="22"/>
      <c r="G30" s="2"/>
      <c r="N30" s="1"/>
    </row>
    <row r="31" spans="1:14" ht="6.75" customHeight="1">
      <c r="A31" s="4"/>
      <c r="B31" s="22"/>
      <c r="C31" s="29"/>
      <c r="D31" s="23"/>
      <c r="E31" s="29"/>
      <c r="F31" s="22"/>
      <c r="G31" s="2"/>
      <c r="H31" s="27"/>
      <c r="I31" s="27"/>
      <c r="J31" s="27"/>
      <c r="K31" s="149"/>
      <c r="L31" s="27"/>
      <c r="M31" s="150"/>
      <c r="N31" s="151"/>
    </row>
    <row r="32" spans="1:16" ht="18.75" customHeight="1">
      <c r="A32" s="4"/>
      <c r="B32" s="3" t="str">
        <f>IF(Info!$H$12&gt;2.5,"Remarks  :",IF(Info!$H$12&gt;1.5,"Bemerkungen : ",IF(Info!$H$12&gt;0.5,"Düşünceler:","")))</f>
        <v>Düşünceler:</v>
      </c>
      <c r="C32" s="212"/>
      <c r="D32" s="212"/>
      <c r="E32" s="212"/>
      <c r="F32" s="212"/>
      <c r="G32" s="212"/>
      <c r="H32" s="212"/>
      <c r="I32" s="212"/>
      <c r="J32" s="212"/>
      <c r="K32" s="212"/>
      <c r="L32" s="212"/>
      <c r="M32" s="212"/>
      <c r="N32" s="212"/>
      <c r="O32" s="212"/>
      <c r="P32" s="23"/>
    </row>
    <row r="33" spans="1:16" ht="18.75" customHeight="1">
      <c r="A33" s="4"/>
      <c r="C33" s="212"/>
      <c r="D33" s="212"/>
      <c r="E33" s="212"/>
      <c r="F33" s="212"/>
      <c r="G33" s="212"/>
      <c r="H33" s="212"/>
      <c r="I33" s="212"/>
      <c r="J33" s="212"/>
      <c r="K33" s="212"/>
      <c r="L33" s="212"/>
      <c r="M33" s="212"/>
      <c r="N33" s="212"/>
      <c r="O33" s="212"/>
      <c r="P33" s="23"/>
    </row>
    <row r="34" spans="1:5" ht="12.75" customHeight="1" hidden="1">
      <c r="A34" s="4"/>
      <c r="B34" s="6"/>
      <c r="C34" s="23"/>
      <c r="D34" s="7"/>
      <c r="E34" s="7"/>
    </row>
    <row r="35" spans="1:5" ht="12.75" customHeight="1" hidden="1">
      <c r="A35" s="4"/>
      <c r="B35" s="6"/>
      <c r="C35" s="6"/>
      <c r="D35" s="7"/>
      <c r="E35" s="7"/>
    </row>
    <row r="36" spans="1:5" ht="12.75" customHeight="1" hidden="1">
      <c r="A36" s="4"/>
      <c r="B36" s="6"/>
      <c r="C36" s="6"/>
      <c r="D36" s="7"/>
      <c r="E36" s="7"/>
    </row>
    <row r="37" spans="1:5" ht="12.75" customHeight="1" hidden="1">
      <c r="A37" s="4"/>
      <c r="B37" s="6"/>
      <c r="C37" s="6"/>
      <c r="D37" s="7"/>
      <c r="E37" s="7"/>
    </row>
    <row r="38" spans="1:5" ht="12.75" customHeight="1" hidden="1">
      <c r="A38" s="4"/>
      <c r="B38" s="6"/>
      <c r="C38" s="6"/>
      <c r="D38" s="7"/>
      <c r="E38" s="7"/>
    </row>
    <row r="39" spans="1:5" ht="18" customHeight="1" hidden="1">
      <c r="A39" s="4"/>
      <c r="B39" s="6"/>
      <c r="C39" s="6"/>
      <c r="D39" s="7"/>
      <c r="E39" s="7"/>
    </row>
    <row r="40" spans="1:15" ht="19.5" customHeight="1" hidden="1">
      <c r="A40" s="4"/>
      <c r="B40" s="10" t="s">
        <v>2</v>
      </c>
      <c r="C40" s="15">
        <f>O40</f>
        <v>39.326530612244895</v>
      </c>
      <c r="D40" s="78"/>
      <c r="E40" s="10" t="s">
        <v>60</v>
      </c>
      <c r="F40" s="16">
        <f>F45+0.5-C40</f>
        <v>34.173469387755105</v>
      </c>
      <c r="H40" s="78"/>
      <c r="I40" s="10" t="s">
        <v>0</v>
      </c>
      <c r="J40" s="15">
        <f>(C41*C48+C42*F48+C43*C49+C44*F49+C45*C50)/F50</f>
        <v>15.64285714285714</v>
      </c>
      <c r="K40" s="2"/>
      <c r="L40" s="2"/>
      <c r="N40" s="10" t="s">
        <v>1</v>
      </c>
      <c r="O40" s="16">
        <f>(F41*C48+F42*F48+F43*C49+F44*F49+F45*C50)/F50</f>
        <v>39.326530612244895</v>
      </c>
    </row>
    <row r="41" spans="1:15" ht="19.5" customHeight="1" hidden="1">
      <c r="A41" s="4"/>
      <c r="B41" s="11" t="s">
        <v>21</v>
      </c>
      <c r="C41" s="15">
        <f>0.5*I10</f>
        <v>14.5</v>
      </c>
      <c r="E41" s="11" t="s">
        <v>22</v>
      </c>
      <c r="F41" s="15">
        <f>0.5*M10</f>
        <v>0.5</v>
      </c>
      <c r="I41" s="10" t="s">
        <v>36</v>
      </c>
      <c r="J41" s="15">
        <f>J40-C41</f>
        <v>1.1428571428571406</v>
      </c>
      <c r="K41" s="2"/>
      <c r="M41" s="2"/>
      <c r="N41" s="10" t="s">
        <v>37</v>
      </c>
      <c r="O41" s="16">
        <f>O40-F41</f>
        <v>38.826530612244895</v>
      </c>
    </row>
    <row r="42" spans="1:15" ht="19.5" customHeight="1" hidden="1">
      <c r="A42" s="4"/>
      <c r="B42" s="11" t="s">
        <v>23</v>
      </c>
      <c r="C42" s="15">
        <f>I15+0.5*M12</f>
        <v>3.3</v>
      </c>
      <c r="E42" s="11" t="s">
        <v>27</v>
      </c>
      <c r="F42" s="15">
        <f>M10+0.5*I12</f>
        <v>35.5</v>
      </c>
      <c r="I42" s="10" t="s">
        <v>38</v>
      </c>
      <c r="J42" s="15">
        <f>J40-C42</f>
        <v>12.342857142857142</v>
      </c>
      <c r="K42" s="2"/>
      <c r="M42" s="2"/>
      <c r="N42" s="10" t="s">
        <v>41</v>
      </c>
      <c r="O42" s="16">
        <f>O40-F42</f>
        <v>3.8265306122448948</v>
      </c>
    </row>
    <row r="43" spans="1:15" ht="19.5" customHeight="1" hidden="1">
      <c r="A43" s="4"/>
      <c r="B43" s="11" t="s">
        <v>24</v>
      </c>
      <c r="C43" s="15">
        <f>0.5*I11</f>
        <v>14.5</v>
      </c>
      <c r="E43" s="11" t="s">
        <v>28</v>
      </c>
      <c r="F43" s="15">
        <f>M10+I12+0.5*M11</f>
        <v>70.5</v>
      </c>
      <c r="I43" s="10" t="s">
        <v>39</v>
      </c>
      <c r="J43" s="15">
        <f>J40-C43</f>
        <v>1.1428571428571406</v>
      </c>
      <c r="K43" s="2"/>
      <c r="M43" s="2"/>
      <c r="N43" s="10" t="s">
        <v>42</v>
      </c>
      <c r="O43" s="16">
        <f>F43-O40</f>
        <v>31.173469387755105</v>
      </c>
    </row>
    <row r="44" spans="1:15" ht="19.5" customHeight="1" hidden="1">
      <c r="A44" s="4"/>
      <c r="B44" s="11" t="s">
        <v>25</v>
      </c>
      <c r="C44" s="15">
        <f>I10-I15-0.5*M13</f>
        <v>25.7</v>
      </c>
      <c r="E44" s="11" t="s">
        <v>29</v>
      </c>
      <c r="F44" s="15">
        <f>M10+0.5*I13</f>
        <v>35.5</v>
      </c>
      <c r="I44" s="10" t="s">
        <v>40</v>
      </c>
      <c r="J44" s="15">
        <f>C44-J40</f>
        <v>10.057142857142859</v>
      </c>
      <c r="K44" s="2"/>
      <c r="M44" s="2"/>
      <c r="N44" s="10" t="s">
        <v>43</v>
      </c>
      <c r="O44" s="16">
        <f>O40-F44</f>
        <v>3.8265306122448948</v>
      </c>
    </row>
    <row r="45" spans="1:15" ht="19.5" customHeight="1" hidden="1">
      <c r="A45" s="4"/>
      <c r="B45" s="11" t="s">
        <v>26</v>
      </c>
      <c r="C45" s="15">
        <f>I10-I15-0.5*M13</f>
        <v>25.7</v>
      </c>
      <c r="E45" s="11" t="s">
        <v>30</v>
      </c>
      <c r="F45" s="15">
        <f>M10+I13+M11+0.5*M14</f>
        <v>73</v>
      </c>
      <c r="I45" s="10" t="s">
        <v>3</v>
      </c>
      <c r="J45" s="15">
        <f>C45-J40</f>
        <v>10.057142857142859</v>
      </c>
      <c r="K45" s="2"/>
      <c r="M45" s="2"/>
      <c r="N45" s="10" t="s">
        <v>4</v>
      </c>
      <c r="O45" s="16">
        <f>F45-O40</f>
        <v>33.673469387755105</v>
      </c>
    </row>
    <row r="46" spans="9:15" ht="19.5" hidden="1">
      <c r="I46" s="10" t="s">
        <v>58</v>
      </c>
      <c r="J46" s="15">
        <f>I11-J40</f>
        <v>13.35714285714286</v>
      </c>
      <c r="K46" s="2"/>
      <c r="M46" s="2"/>
      <c r="N46" s="10" t="s">
        <v>59</v>
      </c>
      <c r="O46" s="16">
        <f>I11-J46</f>
        <v>15.64285714285714</v>
      </c>
    </row>
    <row r="47" spans="9:13" ht="15" hidden="1">
      <c r="I47" s="2"/>
      <c r="J47" s="2"/>
      <c r="K47" s="2"/>
      <c r="M47" s="2"/>
    </row>
    <row r="48" spans="2:15" ht="19.5" hidden="1">
      <c r="B48" s="10" t="s">
        <v>31</v>
      </c>
      <c r="C48" s="15">
        <f>I10*M10</f>
        <v>29</v>
      </c>
      <c r="E48" s="10" t="s">
        <v>32</v>
      </c>
      <c r="F48" s="15">
        <f>M12*I12</f>
        <v>41.4</v>
      </c>
      <c r="H48" s="23"/>
      <c r="I48" s="10" t="s">
        <v>44</v>
      </c>
      <c r="J48" s="17">
        <f>I10*M10^3/12</f>
        <v>2.4166666666666665</v>
      </c>
      <c r="K48" s="23"/>
      <c r="M48" s="2"/>
      <c r="N48" s="10" t="s">
        <v>49</v>
      </c>
      <c r="O48" s="17">
        <f>M10*I10^3/12</f>
        <v>2032.4166666666667</v>
      </c>
    </row>
    <row r="49" spans="2:15" ht="19.5" hidden="1">
      <c r="B49" s="10" t="s">
        <v>33</v>
      </c>
      <c r="C49" s="15">
        <f>I11*M11</f>
        <v>29</v>
      </c>
      <c r="E49" s="10" t="s">
        <v>34</v>
      </c>
      <c r="F49" s="15">
        <f>M13*I13</f>
        <v>41.4</v>
      </c>
      <c r="H49" s="23"/>
      <c r="I49" s="10" t="s">
        <v>45</v>
      </c>
      <c r="J49" s="213">
        <f>M12*I12^3/12</f>
        <v>16425.45</v>
      </c>
      <c r="K49" s="213"/>
      <c r="M49" s="2"/>
      <c r="N49" s="10" t="s">
        <v>50</v>
      </c>
      <c r="O49" s="17">
        <f>I12*M12^3/12</f>
        <v>1.242</v>
      </c>
    </row>
    <row r="50" spans="2:15" ht="19.5" hidden="1">
      <c r="B50" s="10" t="s">
        <v>5</v>
      </c>
      <c r="C50" s="15">
        <f>I14*M14</f>
        <v>16</v>
      </c>
      <c r="E50" s="12" t="s">
        <v>35</v>
      </c>
      <c r="F50" s="15">
        <f>C48+F48+C49+F49+C50</f>
        <v>156.8</v>
      </c>
      <c r="G50" s="1" t="s">
        <v>190</v>
      </c>
      <c r="H50" s="23"/>
      <c r="I50" s="10" t="s">
        <v>46</v>
      </c>
      <c r="J50" s="17">
        <f>I11*M11^3/12</f>
        <v>2.4166666666666665</v>
      </c>
      <c r="K50" s="23"/>
      <c r="M50" s="2"/>
      <c r="N50" s="10" t="s">
        <v>51</v>
      </c>
      <c r="O50" s="17">
        <f>M11*I11^3/12</f>
        <v>2032.4166666666667</v>
      </c>
    </row>
    <row r="51" spans="8:15" ht="19.5" hidden="1">
      <c r="H51" s="23"/>
      <c r="I51" s="10" t="s">
        <v>47</v>
      </c>
      <c r="J51" s="213">
        <f>M13*I13^3/12</f>
        <v>16425.45</v>
      </c>
      <c r="K51" s="213"/>
      <c r="M51" s="2"/>
      <c r="N51" s="10" t="s">
        <v>52</v>
      </c>
      <c r="O51" s="17">
        <f>I13*M13^3/12</f>
        <v>1.242</v>
      </c>
    </row>
    <row r="52" spans="9:15" ht="19.5" hidden="1">
      <c r="I52" s="10" t="s">
        <v>48</v>
      </c>
      <c r="J52" s="17">
        <f>I14*M14^3/12</f>
        <v>21.333333333333332</v>
      </c>
      <c r="K52" s="23"/>
      <c r="M52" s="2"/>
      <c r="N52" s="10" t="s">
        <v>53</v>
      </c>
      <c r="O52" s="17">
        <f>M14*I14^3/12</f>
        <v>21.333333333333332</v>
      </c>
    </row>
    <row r="53" spans="9:13" ht="15" hidden="1">
      <c r="I53" s="2"/>
      <c r="K53" s="23"/>
      <c r="M53" s="2"/>
    </row>
    <row r="54" ht="15" hidden="1">
      <c r="J54" s="15">
        <f>J55+J56</f>
        <v>130.066336</v>
      </c>
    </row>
    <row r="55" spans="10:11" ht="15" hidden="1">
      <c r="J55" s="153">
        <f>F50*7.85/10*1.03</f>
        <v>126.78064</v>
      </c>
      <c r="K55" s="1" t="s">
        <v>56</v>
      </c>
    </row>
    <row r="56" ht="15" hidden="1">
      <c r="J56" s="153">
        <f>(I12-M15)*(I10-2*I15-2*M12)*M12*7.85/10^3/2</f>
        <v>3.2856959999999997</v>
      </c>
    </row>
    <row r="57" ht="15" hidden="1"/>
    <row r="58" ht="15" hidden="1"/>
    <row r="59" ht="15" hidden="1"/>
    <row r="60" ht="15" hidden="1"/>
  </sheetData>
  <sheetProtection/>
  <mergeCells count="6">
    <mergeCell ref="E3:N3"/>
    <mergeCell ref="E5:H5"/>
    <mergeCell ref="J49:K49"/>
    <mergeCell ref="J51:K51"/>
    <mergeCell ref="I8:L8"/>
    <mergeCell ref="C32:O33"/>
  </mergeCell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80" r:id="rId3"/>
  <headerFooter alignWithMargins="0">
    <oddFooter>&amp;L&amp;D / &amp;F / &amp;A&amp;R&amp;P / &amp;N</oddFooter>
  </headerFooter>
  <ignoredErrors>
    <ignoredError sqref="C26" unlockedFormula="1"/>
  </ignoredErrors>
  <legacyDrawing r:id="rId2"/>
  <oleObjects>
    <oleObject progId="AutoCAD.Drawing.15" shapeId="1056694" r:id="rId1"/>
  </oleObjects>
</worksheet>
</file>

<file path=xl/worksheets/sheet4.xml><?xml version="1.0" encoding="utf-8"?>
<worksheet xmlns="http://schemas.openxmlformats.org/spreadsheetml/2006/main" xmlns:r="http://schemas.openxmlformats.org/officeDocument/2006/relationships">
  <dimension ref="A1:R97"/>
  <sheetViews>
    <sheetView showGridLines="0" showRowColHeaders="0" tabSelected="1" zoomScale="85" zoomScaleNormal="85" workbookViewId="0" topLeftCell="A1">
      <selection activeCell="A17" sqref="A17"/>
    </sheetView>
  </sheetViews>
  <sheetFormatPr defaultColWidth="11.5546875" defaultRowHeight="15"/>
  <cols>
    <col min="1" max="2" width="7.77734375" style="31" customWidth="1"/>
    <col min="3" max="3" width="5.4453125" style="31" customWidth="1"/>
    <col min="4" max="4" width="5.3359375" style="31" customWidth="1"/>
    <col min="5" max="5" width="7.10546875" style="31" customWidth="1"/>
    <col min="6" max="6" width="4.99609375" style="31" customWidth="1"/>
    <col min="7" max="7" width="2.21484375" style="31" customWidth="1"/>
    <col min="8" max="8" width="26.3359375" style="31" customWidth="1"/>
    <col min="9" max="9" width="4.3359375" style="31" bestFit="1" customWidth="1"/>
    <col min="10" max="10" width="7.77734375" style="31" customWidth="1"/>
    <col min="11" max="11" width="4.88671875" style="31" hidden="1" customWidth="1"/>
    <col min="12" max="12" width="4.88671875" style="31" customWidth="1"/>
    <col min="13" max="13" width="2.6640625" style="31" customWidth="1"/>
    <col min="14" max="14" width="1.77734375" style="31" customWidth="1"/>
    <col min="15" max="15" width="22.21484375" style="31" customWidth="1"/>
    <col min="16" max="16" width="4.88671875" style="31" customWidth="1"/>
    <col min="17" max="17" width="7.10546875" style="31" customWidth="1"/>
    <col min="18" max="18" width="4.99609375" style="31" customWidth="1"/>
    <col min="19" max="19" width="3.5546875" style="31" customWidth="1"/>
    <col min="20" max="23" width="10.77734375" style="31" customWidth="1"/>
    <col min="24" max="16384" width="11.5546875" style="31" customWidth="1"/>
  </cols>
  <sheetData>
    <row r="1" spans="5:16" ht="12.75">
      <c r="E1" s="30" t="str">
        <f>IF(Info!H12&gt;2.5,"Construction :  Two beams gantry crane",IF(Info!H12&gt;1.5,"Konstruktion : Zweiträger Brückenkran  ",IF(Info!H12&gt;0.5,"Konstruksiyon çift kirişli gezer köprü vinci: ","")))</f>
        <v>Konstruksiyon çift kirişli gezer köprü vinci: </v>
      </c>
      <c r="F1" s="217" t="s">
        <v>171</v>
      </c>
      <c r="G1" s="217"/>
      <c r="H1" s="217"/>
      <c r="I1" s="31" t="str">
        <f>Info!B11</f>
        <v>Copyright : M. G. Kutay , Ver 09.01</v>
      </c>
      <c r="P1" s="177" t="str">
        <f>Info!B9</f>
        <v>www.guven-kutay.ch</v>
      </c>
    </row>
    <row r="2" ht="6.75" customHeight="1">
      <c r="A2" s="86"/>
    </row>
    <row r="3" spans="8:14" ht="15">
      <c r="H3" s="87" t="str">
        <f>IF(Info!H12&gt;2.5,"Selected beam  type",IF(Info!H12&gt;1.5,"ausgewählter Träger typ","Seçilen kiriş tipi"))</f>
        <v>Seçilen kiriş tipi</v>
      </c>
      <c r="I3" s="87"/>
      <c r="J3" s="88" t="str">
        <f>1!M8</f>
        <v>KK05</v>
      </c>
      <c r="K3" s="87"/>
      <c r="L3" s="87"/>
      <c r="M3"/>
      <c r="N3" s="89" t="str">
        <f>IF(Info!$H$12&gt;2.5,"Calculation of side plate on distortion to DIN18800T3",IF(Info!$H$12&gt;1.5,"Berechnung der Seitenbleche auf Beulen nach DIN18800T3","DIN 18800T3 e göre yan plakalarda buruşma kontrolü"))</f>
        <v>DIN 18800T3 e göre yan plakalarda buruşma kontrolü</v>
      </c>
    </row>
    <row r="4" spans="8:18" ht="15.75">
      <c r="H4" s="90" t="str">
        <f>1!H19</f>
        <v>Kirişin eylemsizlik momenti</v>
      </c>
      <c r="I4" s="87" t="s">
        <v>122</v>
      </c>
      <c r="J4" s="91">
        <f>1!I20</f>
        <v>124131.14829931973</v>
      </c>
      <c r="K4" s="87" t="s">
        <v>123</v>
      </c>
      <c r="L4" s="87" t="s">
        <v>123</v>
      </c>
      <c r="M4"/>
      <c r="N4" s="87" t="str">
        <f>IF(Info!$H$12&gt;2.5,"Buckling decrease coefficient",IF(Info!$H$12&gt;1.5,"Beulwert verminderungsfaktor","Buruşma azaltma faktörü"))</f>
        <v>Buruşma azaltma faktörü</v>
      </c>
      <c r="O4" s="87"/>
      <c r="P4" s="87" t="s">
        <v>143</v>
      </c>
      <c r="Q4" s="92">
        <v>0.8</v>
      </c>
      <c r="R4" s="87"/>
    </row>
    <row r="5" spans="8:18" ht="15.75">
      <c r="H5" s="93"/>
      <c r="I5" s="87" t="s">
        <v>124</v>
      </c>
      <c r="J5" s="91">
        <f>1!M20</f>
        <v>16277.322666666667</v>
      </c>
      <c r="K5" s="87" t="s">
        <v>123</v>
      </c>
      <c r="L5" s="87" t="s">
        <v>123</v>
      </c>
      <c r="M5"/>
      <c r="N5" s="94" t="s">
        <v>154</v>
      </c>
      <c r="O5" s="87" t="str">
        <f>IF(Info!$H$12&gt;2.5,"Slenderness ratio",IF(Info!$H$12&gt;1.5,"Schlankheitsgrad","Narinlik derecesi"))</f>
        <v>Narinlik derecesi</v>
      </c>
      <c r="P5" s="94" t="s">
        <v>144</v>
      </c>
      <c r="Q5" s="95">
        <f>(E23/J30)^0.5</f>
        <v>0.8364814412655034</v>
      </c>
      <c r="R5" s="87"/>
    </row>
    <row r="6" spans="8:18" ht="15.75">
      <c r="H6" s="90" t="str">
        <f>1!H21</f>
        <v>Kirişin mukavement momenti</v>
      </c>
      <c r="I6" s="87" t="s">
        <v>125</v>
      </c>
      <c r="J6" s="91">
        <f>1!I22</f>
        <v>3156.4225566510986</v>
      </c>
      <c r="K6" s="87" t="s">
        <v>126</v>
      </c>
      <c r="L6" s="87" t="s">
        <v>126</v>
      </c>
      <c r="M6"/>
      <c r="N6" s="87" t="str">
        <f>IF(Info!$H$12&gt;2.5,"Stress coefficient",IF(Info!$H$12&gt;1.5,"Spannungsbeiwert","Normal gerilme katsayısı"))</f>
        <v>Normal gerilme katsayısı</v>
      </c>
      <c r="O6" s="87"/>
      <c r="P6" s="87" t="s">
        <v>145</v>
      </c>
      <c r="Q6" s="95">
        <f>IF(1.25*(1/Q5-0.22/Q5^2)&gt;1,1,1.25*(1/Q5-0.22/Q5^2))</f>
        <v>1</v>
      </c>
      <c r="R6" s="87"/>
    </row>
    <row r="7" spans="8:18" ht="15.75">
      <c r="H7" s="93"/>
      <c r="I7" s="87" t="s">
        <v>127</v>
      </c>
      <c r="J7" s="91">
        <f>1!M22</f>
        <v>1040.5594398782346</v>
      </c>
      <c r="K7" s="87" t="s">
        <v>126</v>
      </c>
      <c r="L7" s="87" t="s">
        <v>126</v>
      </c>
      <c r="M7"/>
      <c r="N7" s="87" t="str">
        <f>H30</f>
        <v>Buruşma normal gerilmesi</v>
      </c>
      <c r="O7" s="87"/>
      <c r="P7" s="94" t="s">
        <v>215</v>
      </c>
      <c r="Q7" s="91">
        <f>Q6*Q4*E23/1.2</f>
        <v>160</v>
      </c>
      <c r="R7" s="87" t="s">
        <v>129</v>
      </c>
    </row>
    <row r="8" spans="8:18" ht="15.75">
      <c r="H8" s="87" t="str">
        <f>1!H24</f>
        <v>Kiriş birim ağırlığı</v>
      </c>
      <c r="I8" s="87" t="s">
        <v>159</v>
      </c>
      <c r="J8" s="96">
        <f>1!J54</f>
        <v>130.066336</v>
      </c>
      <c r="K8" s="87" t="s">
        <v>56</v>
      </c>
      <c r="L8" s="87" t="s">
        <v>56</v>
      </c>
      <c r="M8"/>
      <c r="N8" s="94" t="s">
        <v>155</v>
      </c>
      <c r="O8" s="87" t="str">
        <f>O5</f>
        <v>Narinlik derecesi</v>
      </c>
      <c r="P8" s="94" t="s">
        <v>147</v>
      </c>
      <c r="Q8" s="95">
        <f>(E23/J32/3^0.5)^0.5</f>
        <v>1.2884246174825809</v>
      </c>
      <c r="R8" s="87"/>
    </row>
    <row r="9" spans="8:18" ht="15.75">
      <c r="H9" s="87" t="str">
        <f>IF(Info!H12&gt;2.5,"Deflection of beam",IF(Info!H12&gt;1.5,"Durchbiegung des Trägers","Kiriş sehimi"))</f>
        <v>Kiriş sehimi</v>
      </c>
      <c r="I9" s="87" t="s">
        <v>158</v>
      </c>
      <c r="J9" s="96">
        <f>E26*(E12-E15)*10^3/48/E24/J4*(3*E12^2-(E12-E15)^2)*10^2</f>
        <v>10.28764752035246</v>
      </c>
      <c r="K9" s="87" t="s">
        <v>54</v>
      </c>
      <c r="L9" s="87" t="s">
        <v>54</v>
      </c>
      <c r="M9"/>
      <c r="N9" s="87" t="str">
        <f>IF(Info!$H$12&gt;2.5,"Shear stress coefficient",IF(Info!$H$12&gt;1.5,"Schubspannungsbeiwert","Buruşma kayma gerilmesi katsayısı"))</f>
        <v>Buruşma kayma gerilmesi katsayısı</v>
      </c>
      <c r="O9" s="87"/>
      <c r="P9" s="87" t="s">
        <v>146</v>
      </c>
      <c r="Q9" s="95">
        <f>0.84/Q8</f>
        <v>0.6519589804495152</v>
      </c>
      <c r="R9" s="87"/>
    </row>
    <row r="10" spans="1:18" ht="15.75">
      <c r="A10" s="87" t="str">
        <f>IF(Info!H12&gt;2.5,"Hoisting power",IF(Info!H12&gt;1.5,"Traglast","Kaldırma yükü"))</f>
        <v>Kaldırma yükü</v>
      </c>
      <c r="B10" s="87"/>
      <c r="C10" s="87"/>
      <c r="D10" s="87" t="s">
        <v>169</v>
      </c>
      <c r="E10" s="103">
        <v>60</v>
      </c>
      <c r="F10" s="87" t="s">
        <v>115</v>
      </c>
      <c r="H10" s="97" t="str">
        <f>IF(Info!H12&gt;2.5,"Ratio of operation deflection ",IF(Info!H12&gt;1.5,"Durchbiegungsverhältnis im Betrieb","İşletmede  sehim oranı"))</f>
        <v>İşletmede  sehim oranı</v>
      </c>
      <c r="I10" s="87" t="s">
        <v>157</v>
      </c>
      <c r="J10" s="98">
        <f>E12/J9*10^3</f>
        <v>1458.059286180335</v>
      </c>
      <c r="K10" s="87"/>
      <c r="L10" s="87"/>
      <c r="M10"/>
      <c r="N10" s="87" t="str">
        <f>IF(Info!$H$12&gt;2.5,"Buckling-Shear stress",IF(Info!$H$12&gt;1.5,"Beul-Schubspannung","Bruşma kayma gerilmesi"))</f>
        <v>Bruşma kayma gerilmesi</v>
      </c>
      <c r="O10" s="87"/>
      <c r="P10" s="94" t="s">
        <v>214</v>
      </c>
      <c r="Q10" s="91">
        <f>Q9*E23/1.2/3^0.5</f>
        <v>75.28173857262432</v>
      </c>
      <c r="R10" s="87" t="s">
        <v>129</v>
      </c>
    </row>
    <row r="11" spans="1:18" ht="14.25" customHeight="1">
      <c r="A11" s="87" t="str">
        <f>IF(Info!H12&gt;2.5,"Hoisting speed",IF(Info!H12&gt;1.5,"Hubgeschwindigkeit","Kaldırma hızı"))</f>
        <v>Kaldırma hızı</v>
      </c>
      <c r="B11" s="87"/>
      <c r="C11" s="87"/>
      <c r="D11" s="87" t="s">
        <v>168</v>
      </c>
      <c r="E11" s="103">
        <v>22.65</v>
      </c>
      <c r="F11" s="87" t="s">
        <v>116</v>
      </c>
      <c r="H11" s="87" t="str">
        <f>IF(Info!H12&gt;2.5,"Self-weight-stress of beam",IF(Info!H12&gt;1.5,"Eigengewichtsspannung des Trägers","Kirişin öz ağırlık gerilimi"))</f>
        <v>Kirişin öz ağırlık gerilimi</v>
      </c>
      <c r="I11" s="94" t="s">
        <v>128</v>
      </c>
      <c r="J11" s="96">
        <f>(J8+E33)*9.81*E12^2/8/J6</f>
        <v>14.865679158871458</v>
      </c>
      <c r="K11" s="87" t="s">
        <v>129</v>
      </c>
      <c r="L11" s="87" t="s">
        <v>129</v>
      </c>
      <c r="M11"/>
      <c r="N11" s="87" t="str">
        <f>H35</f>
        <v>Varolan emniyet  </v>
      </c>
      <c r="O11" s="87"/>
      <c r="P11" s="87" t="s">
        <v>151</v>
      </c>
      <c r="Q11" s="172">
        <f>((J17/Q7)^2+(J19/Q10)^2)</f>
        <v>0.5413811157562471</v>
      </c>
      <c r="R11" s="173"/>
    </row>
    <row r="12" spans="1:18" ht="14.25" customHeight="1">
      <c r="A12" s="87" t="str">
        <f>IF(Info!H12&gt;2.5,"Span length ",IF(Info!H12&gt;1.5,"Spannweite","Köprü açıklığı"))</f>
        <v>Köprü açıklığı</v>
      </c>
      <c r="B12" s="87"/>
      <c r="C12" s="87"/>
      <c r="D12" s="87" t="s">
        <v>167</v>
      </c>
      <c r="E12" s="103">
        <v>15</v>
      </c>
      <c r="F12" s="87" t="s">
        <v>117</v>
      </c>
      <c r="G12" s="32"/>
      <c r="H12" s="87" t="str">
        <f>IF(Info!H12&gt;2.5,"Self-weight-stress of crab",IF(Info!H12&gt;1.5,"Eigengewichtsspannung der Katze","Arabanın öz ağırlık gerilimi"))</f>
        <v>Arabanın öz ağırlık gerilimi</v>
      </c>
      <c r="I12" s="94" t="s">
        <v>130</v>
      </c>
      <c r="J12" s="96">
        <f>E14/32/E12/10^3/J6/10^3*(2*10^3*E12-E15*10^3)^2</f>
        <v>9.306738712185403</v>
      </c>
      <c r="K12" s="87" t="s">
        <v>129</v>
      </c>
      <c r="L12" s="87" t="s">
        <v>129</v>
      </c>
      <c r="M12"/>
      <c r="N12" s="87" t="str">
        <f>H37</f>
        <v>Hesaplanan emniyet  </v>
      </c>
      <c r="O12" s="87"/>
      <c r="P12" s="87" t="s">
        <v>150</v>
      </c>
      <c r="Q12" s="159">
        <f>J36/Q11</f>
        <v>2.4936222574261855</v>
      </c>
      <c r="R12" s="173" t="str">
        <f>IF(Q12&gt;1,"&gt;1","&lt;1")</f>
        <v>&gt;1</v>
      </c>
    </row>
    <row r="13" spans="1:18" ht="14.25" customHeight="1">
      <c r="A13" s="87" t="str">
        <f>IF(Info!H12&gt;2.5,"Crab speed",IF(Info!H12&gt;1.5,"Katz-Fahrgeschwindigkeit","Araba yürüme hızı"))</f>
        <v>Araba yürüme hızı</v>
      </c>
      <c r="B13" s="87"/>
      <c r="C13" s="87"/>
      <c r="D13" s="87" t="s">
        <v>166</v>
      </c>
      <c r="E13" s="103">
        <v>15</v>
      </c>
      <c r="F13" s="87" t="s">
        <v>116</v>
      </c>
      <c r="G13" s="32"/>
      <c r="H13" s="87" t="str">
        <f>IF(Info!H12&gt;2.5,"Hoisting power stress",IF(Info!H12&gt;1.5,"Hublastspannung","Yük gerilimi"))</f>
        <v>Yük gerilimi</v>
      </c>
      <c r="I13" s="94" t="s">
        <v>131</v>
      </c>
      <c r="J13" s="96">
        <f>E10*10^3/32/E12/10^3/J6/10^3*(2*E12*10^3-E15*10^3)^2</f>
        <v>32.84731310183083</v>
      </c>
      <c r="K13" s="87" t="s">
        <v>129</v>
      </c>
      <c r="L13" s="87" t="s">
        <v>129</v>
      </c>
      <c r="M13"/>
      <c r="N13" s="99" t="str">
        <f>IF(Info!$H$12&gt;2.5,I51,IF(Info!$H$12&gt;1.5,I50,I49))</f>
        <v>Hesaplara göre emniyet yeterlidir.</v>
      </c>
      <c r="P13" s="99"/>
      <c r="Q13" s="99"/>
      <c r="R13" s="99"/>
    </row>
    <row r="14" spans="1:14" ht="15.75">
      <c r="A14" s="87" t="str">
        <f>IF(Info!H12&gt;2.5,"Crab weight",IF(Info!H12&gt;1.5,"Katzgewicht","Arabanın ağırlığı"))</f>
        <v>Arabanın ağırlığı</v>
      </c>
      <c r="B14" s="87"/>
      <c r="C14" s="87"/>
      <c r="D14" s="87" t="s">
        <v>165</v>
      </c>
      <c r="E14" s="103">
        <v>17000</v>
      </c>
      <c r="F14" s="87" t="s">
        <v>114</v>
      </c>
      <c r="G14" s="32"/>
      <c r="H14" s="87" t="str">
        <f>IF(Info!$H$12&gt;2.5,"Stress of inertia force ",IF(Info!$H$12&gt;1.5,"Spannung der Trägheitskräfte","Eylemsizlik kuvvetleri gerilimi"))</f>
        <v>Eylemsizlik kuvvetleri gerilimi</v>
      </c>
      <c r="I14" s="94" t="s">
        <v>132</v>
      </c>
      <c r="J14" s="96">
        <f>0.075*E12*10^3/J7/10^3*(E18*(J8+E33)*9.81*E12+E14/2)</f>
        <v>38.9514134012017</v>
      </c>
      <c r="K14" s="87" t="s">
        <v>129</v>
      </c>
      <c r="L14" s="87" t="s">
        <v>129</v>
      </c>
      <c r="M14"/>
      <c r="N14" s="89" t="str">
        <f>IF(Info!$H$12&gt;2.5,"Buckling calculation of upper belt to DIN4114T1",IF(Info!$H$12&gt;1.5,"Berechnung auf Beulen des Obergurtes nach DIN4114T1","DIN 4114T1 e göre üst kuşak plakasindaı buruşma kontrolü"))</f>
        <v>DIN 4114T1 e göre üst kuşak plakasindaı buruşma kontrolü</v>
      </c>
    </row>
    <row r="15" spans="1:18" ht="15.75">
      <c r="A15" s="87" t="str">
        <f>IF(Info!H12&gt;2.5,"Distance of crabswheel",IF(Info!H12&gt;1.5,"Abstand der Katzräder","Araba tekerlek mesafesi"))</f>
        <v>Araba tekerlek mesafesi</v>
      </c>
      <c r="B15" s="87"/>
      <c r="C15" s="87"/>
      <c r="D15" s="87" t="s">
        <v>164</v>
      </c>
      <c r="E15" s="103">
        <v>1.2</v>
      </c>
      <c r="F15" s="87" t="s">
        <v>117</v>
      </c>
      <c r="G15" s="32"/>
      <c r="H15" s="87" t="str">
        <f>IF(Info!$H$12&gt;2.5,"Stress of crabclamp",IF(Info!$H$12&gt;1.5,"Spannung der Katzklemmung","Araba kasılma gerilimi"))</f>
        <v>Araba kasılma gerilimi</v>
      </c>
      <c r="I15" s="94" t="s">
        <v>133</v>
      </c>
      <c r="J15" s="96">
        <f>0.05*E15*10^3/J7/10^3*(E14+E10*10^3)</f>
        <v>4.439919357745319</v>
      </c>
      <c r="K15" s="87" t="s">
        <v>129</v>
      </c>
      <c r="L15" s="87" t="s">
        <v>129</v>
      </c>
      <c r="M15"/>
      <c r="N15" s="87" t="str">
        <f>IF(Info!$H$12&gt;2.5,"Buckling width",IF(Info!$H$12&gt;1.5,"Beulbeanspruchungsbreite","Bruşma gerilimi genişliği"))</f>
        <v>Bruşma gerilimi genişliği</v>
      </c>
      <c r="O15" s="87"/>
      <c r="P15" s="87" t="s">
        <v>227</v>
      </c>
      <c r="Q15" s="96">
        <f>1!I10-2*1!I15</f>
        <v>23</v>
      </c>
      <c r="R15" s="87" t="s">
        <v>113</v>
      </c>
    </row>
    <row r="16" spans="1:18" ht="15.75">
      <c r="A16" s="87" t="str">
        <f>IF(Info!H12&gt;2.5,"Crane speed",IF(Info!H12&gt;1.5,"Kran-Fahrgeschwindigkeit","Vinç yürüme hızı"))</f>
        <v>Vinç yürüme hızı</v>
      </c>
      <c r="B16" s="87"/>
      <c r="C16" s="87"/>
      <c r="D16" s="87" t="s">
        <v>163</v>
      </c>
      <c r="E16" s="103">
        <v>25</v>
      </c>
      <c r="F16" s="87" t="s">
        <v>116</v>
      </c>
      <c r="G16" s="32"/>
      <c r="H16" s="89" t="str">
        <f>IF(Info!$H$12&gt;2.5,"Static stress check",IF(Info!$H$12&gt;1.5,"Statische Spannungskontrolle","Statik mukavemet kontrolü"))</f>
        <v>Statik mukavemet kontrolü</v>
      </c>
      <c r="L16" s="87"/>
      <c r="M16"/>
      <c r="N16" s="87" t="str">
        <f>IF(Info!H12&gt;2.5,"Ratio of bucling dimension ",IF(Info!H12&gt;1.5,"Beulmassverhältnis","Buruşma hesap oranı"))</f>
        <v>Buruşma hesap oranı</v>
      </c>
      <c r="O16" s="87"/>
      <c r="P16" s="87" t="s">
        <v>228</v>
      </c>
      <c r="Q16" s="100">
        <f>E32/Q15/10</f>
        <v>8.695652173913043</v>
      </c>
      <c r="R16" s="87"/>
    </row>
    <row r="17" spans="1:18" ht="15">
      <c r="A17" s="87" t="str">
        <f>IF(Info!H12&gt;2.5,"Vibration coefficient",IF(Info!H12&gt;1.5,"Schwingbeiwert","Titreşim katsayısı"))</f>
        <v>Titreşim katsayısı</v>
      </c>
      <c r="B17" s="87"/>
      <c r="C17" s="87"/>
      <c r="D17" s="94" t="s">
        <v>119</v>
      </c>
      <c r="E17" s="95">
        <f>1.2+0.0044*E11</f>
        <v>1.29966</v>
      </c>
      <c r="F17" s="87"/>
      <c r="G17" s="32"/>
      <c r="H17" s="87" t="str">
        <f>IF(Info!$H$12&gt;2.5,"max. Stress",IF(Info!$H$12&gt;1.5,"max. Spannung","max. Normal gerilme"))</f>
        <v>max. Normal gerilme</v>
      </c>
      <c r="I17" s="94" t="s">
        <v>135</v>
      </c>
      <c r="J17" s="96">
        <f>E34*(J11+J12+E17*J13+J14+J15)</f>
        <v>115.7667940547258</v>
      </c>
      <c r="K17" s="87" t="s">
        <v>129</v>
      </c>
      <c r="L17" s="87" t="s">
        <v>129</v>
      </c>
      <c r="M17"/>
      <c r="N17" s="87" t="str">
        <f>A30</f>
        <v>Kuvvet sınır değerleri oranı</v>
      </c>
      <c r="O17" s="87"/>
      <c r="P17" s="94" t="s">
        <v>219</v>
      </c>
      <c r="Q17" s="174">
        <v>1</v>
      </c>
      <c r="R17" s="87"/>
    </row>
    <row r="18" spans="1:18" ht="15">
      <c r="A18" s="87" t="str">
        <f>IF(Info!H12&gt;2.5,"Self-weight coefficient",IF(Info!H12&gt;1.5,"Eigengewichtsfaktor","Öz ağırlık faktörü"))</f>
        <v>Öz ağırlık faktörü</v>
      </c>
      <c r="B18" s="87"/>
      <c r="C18" s="87"/>
      <c r="D18" s="94" t="s">
        <v>118</v>
      </c>
      <c r="E18" s="167">
        <f>IF(E16&gt;59.9,1.2,1.1)</f>
        <v>1.1</v>
      </c>
      <c r="F18" s="87"/>
      <c r="G18" s="32"/>
      <c r="H18" s="87" t="str">
        <f>IF(Info!$H$12&gt;2.5,"min. Stress",IF(Info!$H$12&gt;1.5,"min. Spannung","min. Normal gerilme"))</f>
        <v>min. Normal gerilme</v>
      </c>
      <c r="I18" s="94" t="s">
        <v>136</v>
      </c>
      <c r="J18" s="96">
        <f>J11+J12</f>
        <v>24.17241787105686</v>
      </c>
      <c r="K18" s="87" t="s">
        <v>129</v>
      </c>
      <c r="L18" s="87" t="s">
        <v>129</v>
      </c>
      <c r="M18"/>
      <c r="N18" s="87" t="str">
        <f>H28</f>
        <v>Buruşma normal gerilme katsayısı</v>
      </c>
      <c r="O18" s="87"/>
      <c r="P18" s="87" t="s">
        <v>220</v>
      </c>
      <c r="Q18" s="100">
        <f>8.4/(1.1+Q17)</f>
        <v>4</v>
      </c>
      <c r="R18" s="87"/>
    </row>
    <row r="19" spans="1:18" ht="15.75">
      <c r="A19" s="87" t="str">
        <f>IF(Info!H12&gt;2.5,"Ratio of deflection",IF(Info!H12&gt;1.5,"Durchbiegungsverhältnis","Kiriş sehim oranı"))</f>
        <v>Kiriş sehim oranı</v>
      </c>
      <c r="B19" s="87"/>
      <c r="C19" s="87"/>
      <c r="D19" s="87" t="s">
        <v>157</v>
      </c>
      <c r="E19" s="103">
        <v>1500</v>
      </c>
      <c r="F19" s="87"/>
      <c r="G19" s="32"/>
      <c r="H19" s="87" t="str">
        <f>IF(Info!$H$12&gt;2.5,"Shear stress",IF(Info!$H$12&gt;1.5,"Schubspannung","Kayma gerilmesi"))</f>
        <v>Kayma gerilmesi</v>
      </c>
      <c r="I19" s="94" t="s">
        <v>137</v>
      </c>
      <c r="J19" s="96">
        <f>(E17*E10*10^3+E34*E14)/4/1!M13*((1!J44+0.2*1!O45)/(1!J42+1!J44)/(1!O41+1!O43)+1/1!I12)/10^2</f>
        <v>10.062839967797238</v>
      </c>
      <c r="K19" s="87" t="s">
        <v>129</v>
      </c>
      <c r="L19" s="87" t="s">
        <v>129</v>
      </c>
      <c r="M19"/>
      <c r="N19" s="87" t="str">
        <f>N9</f>
        <v>Buruşma kayma gerilmesi katsayısı</v>
      </c>
      <c r="O19" s="87"/>
      <c r="P19" s="87" t="s">
        <v>221</v>
      </c>
      <c r="Q19" s="100">
        <f>5.34+4/Q16^2</f>
        <v>5.3929</v>
      </c>
      <c r="R19" s="87"/>
    </row>
    <row r="20" spans="1:18" ht="15.75">
      <c r="A20" s="87" t="str">
        <f>IF(Info!H12&gt;2.5,"max. Deflection",IF(Info!H12&gt;1.5,"max. Durchbiegung","max. Sehim"))</f>
        <v>max. Sehim</v>
      </c>
      <c r="B20" s="87"/>
      <c r="C20" s="87"/>
      <c r="D20" s="87" t="s">
        <v>162</v>
      </c>
      <c r="E20" s="96">
        <f>E12*10^3/E19</f>
        <v>10</v>
      </c>
      <c r="F20" s="87" t="s">
        <v>54</v>
      </c>
      <c r="G20" s="32"/>
      <c r="H20" s="87" t="str">
        <f>IF(Info!$H$12&gt;2.5,"Reduced stress",IF(Info!$H$12&gt;1.5,"Vergleichsspannung","Karşılaştırma gerilmesi"))</f>
        <v>Karşılaştırma gerilmesi</v>
      </c>
      <c r="I20" s="94" t="s">
        <v>138</v>
      </c>
      <c r="J20" s="171">
        <f>(J17^2+3*J19^2)^(0.5)</f>
        <v>117.07148606881947</v>
      </c>
      <c r="K20" s="87" t="s">
        <v>129</v>
      </c>
      <c r="L20" s="87" t="s">
        <v>129</v>
      </c>
      <c r="M20"/>
      <c r="N20" s="87" t="str">
        <f>IF(Info!$H$12&gt;2.5,"Euler stress",IF(Info!$H$12&gt;1.5,"Euler-Spannung","Euler gerilmesi"))</f>
        <v>Euler gerilmesi</v>
      </c>
      <c r="O20" s="87"/>
      <c r="P20" s="94" t="s">
        <v>222</v>
      </c>
      <c r="Q20" s="100">
        <f>(PI())^2*E24/12/(1-E25^2)*(1!M10/2!Q15)^2</f>
        <v>358.79033012539463</v>
      </c>
      <c r="R20" s="87" t="s">
        <v>129</v>
      </c>
    </row>
    <row r="21" spans="1:18" ht="15.75">
      <c r="A21" s="87" t="str">
        <f>IF(Info!H12&gt;2.5,"Material",IF(Info!H12&gt;1.5,"Werkstoff","Malzeme "))</f>
        <v>Malzeme </v>
      </c>
      <c r="B21" s="87"/>
      <c r="C21" s="87"/>
      <c r="D21" s="87"/>
      <c r="E21" s="102" t="s">
        <v>195</v>
      </c>
      <c r="F21" s="87"/>
      <c r="G21" s="32"/>
      <c r="H21" s="87" t="str">
        <f>IF(Info!$H$12&gt;2.5,"Means reliability ",IF(Info!$H$12&gt;1.5,"vorhandene Sicherheit","Hesaplanan emniyet  "))</f>
        <v>Hesaplanan emniyet  </v>
      </c>
      <c r="I21" s="87" t="s">
        <v>150</v>
      </c>
      <c r="J21" s="159">
        <f>E35/J20</f>
        <v>1.3666863330490686</v>
      </c>
      <c r="K21" s="87"/>
      <c r="L21" s="173" t="str">
        <f>IF(J21&gt;1,"&gt;1","&lt;1")</f>
        <v>&gt;1</v>
      </c>
      <c r="M21"/>
      <c r="N21" s="87" t="str">
        <f>N7</f>
        <v>Buruşma normal gerilmesi</v>
      </c>
      <c r="O21" s="87"/>
      <c r="P21" s="94" t="s">
        <v>223</v>
      </c>
      <c r="Q21" s="91">
        <f>Q18*Q20</f>
        <v>1435.1613205015785</v>
      </c>
      <c r="R21" s="87" t="s">
        <v>129</v>
      </c>
    </row>
    <row r="22" spans="1:18" ht="15.75">
      <c r="A22" s="87" t="str">
        <f>IF(Info!H12&gt;2.5,"Break strength ",IF(Info!H12&gt;1.5,"Bruchfestigkeit","Kopma mukavemeti"))</f>
        <v>Kopma mukavemeti</v>
      </c>
      <c r="B22" s="87"/>
      <c r="C22" s="87"/>
      <c r="D22" s="87" t="s">
        <v>160</v>
      </c>
      <c r="E22" s="103">
        <v>340</v>
      </c>
      <c r="F22" s="87" t="s">
        <v>129</v>
      </c>
      <c r="G22" s="32"/>
      <c r="H22" s="86" t="str">
        <f>IF(Info!$H$12&gt;2.5,B47,IF(Info!$H$12&gt;1.5,B46,B45))</f>
        <v>Hesaplara göre emniyet yeterlidir.</v>
      </c>
      <c r="L22" s="32"/>
      <c r="M22"/>
      <c r="N22" s="87" t="str">
        <f>N10</f>
        <v>Bruşma kayma gerilmesi</v>
      </c>
      <c r="O22" s="87"/>
      <c r="P22" s="94" t="s">
        <v>224</v>
      </c>
      <c r="Q22" s="91">
        <f>Q19*Q20</f>
        <v>1934.9203713332406</v>
      </c>
      <c r="R22" s="87" t="s">
        <v>129</v>
      </c>
    </row>
    <row r="23" spans="1:18" ht="15.75">
      <c r="A23" s="87" t="str">
        <f>IF(Info!H12&gt;2.5,"Yield strength",IF(Info!H12&gt;1.5,"Fliesfestigkeit","Akma mukavemeti"))</f>
        <v>Akma mukavemeti</v>
      </c>
      <c r="B23" s="87"/>
      <c r="C23" s="87"/>
      <c r="D23" s="87" t="s">
        <v>161</v>
      </c>
      <c r="E23" s="103">
        <v>240</v>
      </c>
      <c r="F23" s="87" t="s">
        <v>129</v>
      </c>
      <c r="G23" s="32"/>
      <c r="H23" s="89" t="str">
        <f>IF(Info!$H$12&gt;2.5,"Dynamic stress check",IF(Info!$H$12&gt;1.5,"Dynamische Spannungskontrolle","Dinamik mukavemet kontrolü"))</f>
        <v>Dinamik mukavemet kontrolü</v>
      </c>
      <c r="L23" s="93"/>
      <c r="M23"/>
      <c r="N23" s="87" t="str">
        <f>IF(Info!$H$12&gt;2.5,"Buckling stress of upper belt ",IF(Info!$H$12&gt;1.5,"Obergurt-Beulspannung","Üst kuşak buruşma gerilmesi"))</f>
        <v>Üst kuşak buruşma gerilmesi</v>
      </c>
      <c r="O23" s="87"/>
      <c r="P23" s="94" t="s">
        <v>223</v>
      </c>
      <c r="Q23" s="91">
        <f>J20/(J17/2/Q21+((J17/2/Q21)^2+(J19/Q22)^2)^0.5)</f>
        <v>1445.352466880448</v>
      </c>
      <c r="R23" s="87" t="s">
        <v>129</v>
      </c>
    </row>
    <row r="24" spans="1:18" ht="15">
      <c r="A24" s="87" t="str">
        <f>IF(Info!H12&gt;2.5,"Young's modulus",IF(Info!H12&gt;1.5,"Elastizitätsmodul","Elastiklik moülü"))</f>
        <v>Elastiklik moülü</v>
      </c>
      <c r="B24" s="87"/>
      <c r="C24" s="87"/>
      <c r="D24" s="87" t="s">
        <v>67</v>
      </c>
      <c r="E24" s="166">
        <v>210000</v>
      </c>
      <c r="F24" s="87" t="s">
        <v>129</v>
      </c>
      <c r="G24" s="32"/>
      <c r="H24" s="87" t="str">
        <f>IF(Info!$H$12&gt;2.5,"Dynamic Stress",IF(Info!$H$12&gt;1.5,"Dynamische Spannung","Dinamik gerilme"))</f>
        <v>Dinamik gerilme</v>
      </c>
      <c r="I24" s="94" t="s">
        <v>152</v>
      </c>
      <c r="J24" s="96">
        <f>5/3*E36</f>
        <v>211.66666666666669</v>
      </c>
      <c r="K24" s="87" t="s">
        <v>129</v>
      </c>
      <c r="L24" s="87" t="s">
        <v>129</v>
      </c>
      <c r="M24"/>
      <c r="N24" s="87" t="str">
        <f>H34</f>
        <v>Buruşma karşılaştırma gerilmesi</v>
      </c>
      <c r="O24" s="87"/>
      <c r="P24" s="94" t="s">
        <v>225</v>
      </c>
      <c r="Q24" s="91">
        <f>IF(E21="St37",VLOOKUP(Q23,D58:E89,2),VLOOKUP(Q23,H58:H89,2))</f>
        <v>237</v>
      </c>
      <c r="R24" s="87" t="s">
        <v>129</v>
      </c>
    </row>
    <row r="25" spans="1:18" ht="15.75">
      <c r="A25" s="87" t="str">
        <f>IF(Info!H12&gt;2.5,"Poisson ratio",IF(Info!H12&gt;1.5,"Poissonzahl","Poisson sayısı"))</f>
        <v>Poisson sayısı</v>
      </c>
      <c r="B25" s="87"/>
      <c r="C25" s="87"/>
      <c r="D25" s="94" t="s">
        <v>120</v>
      </c>
      <c r="E25" s="166">
        <v>0.3</v>
      </c>
      <c r="F25" s="87"/>
      <c r="G25" s="32"/>
      <c r="H25" s="87" t="str">
        <f>IF(Info!$H$12&gt;2.5,"Means reliability ",IF(Info!$H$12&gt;1.5,"vorhandene Sicherheit","Hesaplanan emniyet  "))</f>
        <v>Hesaplanan emniyet  </v>
      </c>
      <c r="I25" s="87" t="s">
        <v>150</v>
      </c>
      <c r="J25" s="159">
        <f>J24/J20</f>
        <v>1.8080121280961639</v>
      </c>
      <c r="K25" s="87"/>
      <c r="L25" s="173" t="str">
        <f>IF(J25&gt;1,"&gt;1","&lt;1")</f>
        <v>&gt;1</v>
      </c>
      <c r="M25" s="163"/>
      <c r="N25" s="87" t="str">
        <f>N11</f>
        <v>Varolan emniyet  </v>
      </c>
      <c r="O25" s="87"/>
      <c r="P25" s="87" t="s">
        <v>226</v>
      </c>
      <c r="Q25" s="172">
        <f>Q24/J20</f>
        <v>2.024404130828933</v>
      </c>
      <c r="R25" s="173"/>
    </row>
    <row r="26" spans="1:18" ht="15.75">
      <c r="A26" s="87" t="str">
        <f>IF(Info!H12&gt;2.5,"Wheel force",IF(Info!H12&gt;1.5,"Radkraft","Tekerlek dik kuvveti"))</f>
        <v>Tekerlek dik kuvveti</v>
      </c>
      <c r="B26" s="87"/>
      <c r="C26" s="87"/>
      <c r="D26" s="87" t="s">
        <v>216</v>
      </c>
      <c r="E26" s="91">
        <f>(E10*10^3+E14)/4</f>
        <v>19250</v>
      </c>
      <c r="F26" s="87" t="s">
        <v>114</v>
      </c>
      <c r="G26" s="32"/>
      <c r="H26" s="162" t="str">
        <f>IF(Info!$H$12&gt;2.5,I47,IF(Info!$H$12&gt;1.5,I46,I45))</f>
        <v>Hesaplara göre emniyet yeterlidir.</v>
      </c>
      <c r="I26" s="32"/>
      <c r="J26" s="32"/>
      <c r="K26" s="32"/>
      <c r="L26" s="90"/>
      <c r="M26"/>
      <c r="N26" s="87" t="str">
        <f>H37</f>
        <v>Hesaplanan emniyet  </v>
      </c>
      <c r="O26" s="87"/>
      <c r="P26" s="87" t="s">
        <v>150</v>
      </c>
      <c r="Q26" s="159">
        <f>Q25/J36</f>
        <v>1.4995586154288392</v>
      </c>
      <c r="R26" s="173" t="str">
        <f>IF(Q26&gt;1,"&gt;1","&lt;1")</f>
        <v>&gt;1</v>
      </c>
    </row>
    <row r="27" spans="1:14" ht="15.75">
      <c r="A27" s="87" t="str">
        <f>IF(Info!H12&gt;2.5,"neces. Moment of inertia",IF(Info!H12&gt;1.5,"erford. Trägheitsmoment","Gerekli eylemsizlik momenti"))</f>
        <v>Gerekli eylemsizlik momenti</v>
      </c>
      <c r="B27" s="87"/>
      <c r="C27" s="87"/>
      <c r="D27" s="87" t="s">
        <v>217</v>
      </c>
      <c r="E27" s="91">
        <f>(E26*(E12-E15)*10^3/48/E24/E20*(3*E12^2-(E12-E15)^2))*10^2</f>
        <v>127701.75</v>
      </c>
      <c r="F27" s="87" t="s">
        <v>123</v>
      </c>
      <c r="G27" s="32"/>
      <c r="H27" s="89" t="str">
        <f>IF(Info!$H$12&gt;2.5,"Calculation of side plate on distortion to DIN4114T1",IF(Info!$H$12&gt;1.5,"Berechnung der Seitenbleche auf Beulen nach DIN4114T1","DIN 4114T1 e göre yan plakalarda buruşma kontrolü"))</f>
        <v>DIN 4114T1 e göre yan plakalarda buruşma kontrolü</v>
      </c>
      <c r="L27" s="93"/>
      <c r="M27"/>
      <c r="N27" s="86" t="str">
        <f>IF(Info!$H$12&gt;2.5,B55,IF(Info!$H$12&gt;1.5,B54,B53))</f>
        <v>Hesaplara göre emniyet yeterlidir.</v>
      </c>
    </row>
    <row r="28" spans="1:14" ht="15">
      <c r="A28" s="87" t="str">
        <f>IF(Info!H12&gt;2.5,"Notch case group",IF(Info!H12&gt;1.5,"Kerbfall-Gruppe","Çentik grubu"))</f>
        <v>Çentik grubu</v>
      </c>
      <c r="B28" s="87"/>
      <c r="C28" s="87"/>
      <c r="D28" s="87"/>
      <c r="E28" s="102" t="s">
        <v>199</v>
      </c>
      <c r="F28" s="87"/>
      <c r="G28" s="32"/>
      <c r="H28" s="87" t="str">
        <f>IF(Info!$H$12&gt;2.5,"Normal stress coefficient",IF(Info!$H$12&gt;1.5,"Normal-Spannungsbeiwert","Buruşma normal gerilme katsayısı"))</f>
        <v>Buruşma normal gerilme katsayısı</v>
      </c>
      <c r="I28" s="87" t="s">
        <v>141</v>
      </c>
      <c r="J28" s="92">
        <v>23.9</v>
      </c>
      <c r="K28" s="87"/>
      <c r="L28" s="87"/>
      <c r="M28"/>
      <c r="N28" s="89" t="str">
        <f>IF(Info!$H$12&gt;2.5,"Buckling calculation of upper belt to DIN 18800T3",IF(Info!$H$12&gt;1.5,"Berechnung auf Beulen des Obergurtes nach DIN 18800T3","DIN 18800T3 e göre üst kuşak plakasinda buruşma kontrolü"))</f>
        <v>DIN 18800T3 e göre üst kuşak plakasinda buruşma kontrolü</v>
      </c>
    </row>
    <row r="29" spans="1:18" ht="15.75">
      <c r="A29" s="87" t="str">
        <f>IF(Info!H12&gt;2.5,"Component assembly ",IF(Info!H12&gt;1.5,"Bauteilgruppen","Yükleme grubu"))</f>
        <v>Yükleme grubu</v>
      </c>
      <c r="B29" s="87"/>
      <c r="C29" s="87"/>
      <c r="D29" s="87"/>
      <c r="E29" s="102" t="s">
        <v>139</v>
      </c>
      <c r="F29" s="87"/>
      <c r="G29" s="32"/>
      <c r="H29" s="87" t="str">
        <f>IF(Info!$H$12&gt;2.5,"Euler Stress",IF(Info!$H$12&gt;1.5,"Euler Spannung","Euler gerilmesi"))</f>
        <v>Euler gerilmesi</v>
      </c>
      <c r="I29" s="94" t="s">
        <v>142</v>
      </c>
      <c r="J29" s="100">
        <f>(PI())^2*E24/12/(1-E25^2)*(1!M13/1!I13)^2</f>
        <v>14.351613205015788</v>
      </c>
      <c r="K29" s="87" t="s">
        <v>129</v>
      </c>
      <c r="L29" s="87" t="s">
        <v>129</v>
      </c>
      <c r="M29"/>
      <c r="N29" s="94" t="s">
        <v>154</v>
      </c>
      <c r="O29" s="87" t="str">
        <f>O5</f>
        <v>Narinlik derecesi</v>
      </c>
      <c r="P29" s="94" t="s">
        <v>144</v>
      </c>
      <c r="Q29" s="95">
        <f>(E23/Q21)^0.5</f>
        <v>0.40893592062572065</v>
      </c>
      <c r="R29" s="87"/>
    </row>
    <row r="30" spans="1:18" ht="15.75">
      <c r="A30" s="87" t="str">
        <f>IF(Info!H12&gt;2.5,"Ratio of range tension",IF(Info!H12&gt;1.5,"Grenzspannungsverhältnis","Kuvvet sınır değerleri oranı"))</f>
        <v>Kuvvet sınır değerleri oranı</v>
      </c>
      <c r="B30" s="87"/>
      <c r="C30" s="87"/>
      <c r="D30" s="94" t="s">
        <v>206</v>
      </c>
      <c r="E30" s="95">
        <f>J18/J17</f>
        <v>0.20880268878854819</v>
      </c>
      <c r="F30" s="87"/>
      <c r="H30" s="87" t="str">
        <f>IF(Info!$H$12&gt;2.5,"Buckling stress",IF(Info!$H$12&gt;1.5,"Beulspannung","Buruşma normal gerilmesi"))</f>
        <v>Buruşma normal gerilmesi</v>
      </c>
      <c r="I30" s="94" t="s">
        <v>211</v>
      </c>
      <c r="J30" s="100">
        <f>J28*J29</f>
        <v>343.0035555998773</v>
      </c>
      <c r="K30" s="87" t="s">
        <v>129</v>
      </c>
      <c r="L30" s="87" t="s">
        <v>129</v>
      </c>
      <c r="M30"/>
      <c r="N30" s="87" t="str">
        <f>IF(Info!$H$12&gt;2.5,"Secondary  coefficient",IF(Info!$H$12&gt;1.5,"Hilfsbeiwert","Yardımcı katsayı"))</f>
        <v>Yardımcı katsayı</v>
      </c>
      <c r="O30" s="87"/>
      <c r="P30" s="87" t="s">
        <v>148</v>
      </c>
      <c r="Q30" s="95">
        <f>1.25-0.12*Q17</f>
        <v>1.13</v>
      </c>
      <c r="R30" s="87"/>
    </row>
    <row r="31" spans="1:18" ht="15">
      <c r="A31" s="87" t="str">
        <f>IF(Info!H12&gt;2.5,"Ratio of buckling tension",IF(Info!H12&gt;1.5,"Beulspannungsverhältnis","Buruşma sınır değerleri oranı"))</f>
        <v>Buruşma sınır değerleri oranı</v>
      </c>
      <c r="B31" s="87"/>
      <c r="C31" s="87"/>
      <c r="D31" s="94" t="s">
        <v>207</v>
      </c>
      <c r="E31" s="174">
        <v>-1</v>
      </c>
      <c r="F31" s="87"/>
      <c r="H31" s="87" t="str">
        <f>IF(Info!$H$12&gt;2.5,"Shear stress coefficient",IF(Info!$H$12&gt;1.5,"Schubspannungsbeiwert","Buruşma kayma gerilmesi  katsayısı"))</f>
        <v>Buruşma kayma gerilmesi  katsayısı</v>
      </c>
      <c r="I31" s="87" t="s">
        <v>140</v>
      </c>
      <c r="J31" s="100">
        <f>5.34+4/(E32/1!I12/10)^2</f>
        <v>5.8161</v>
      </c>
      <c r="K31" s="87"/>
      <c r="L31" s="87"/>
      <c r="M31"/>
      <c r="N31" s="87" t="str">
        <f>N6</f>
        <v>Normal gerilme katsayısı</v>
      </c>
      <c r="O31" s="87"/>
      <c r="P31" s="87" t="s">
        <v>145</v>
      </c>
      <c r="Q31" s="95">
        <f>IF(Q30*(1/Q29-0.22/Q29^2)&gt;1,1,Q30*(1/Q29-0.22/Q29^2))</f>
        <v>1</v>
      </c>
      <c r="R31" s="87"/>
    </row>
    <row r="32" spans="1:18" ht="15.75">
      <c r="A32" s="87" t="str">
        <f>IF(Info!H12&gt;2.5,"Distance of cross platte",IF(Info!H12&gt;1.5,"Abstand der Querbleche","Perdeler arası mesafesi"))</f>
        <v>Perdeler arası mesafesi</v>
      </c>
      <c r="B32" s="87"/>
      <c r="C32" s="87"/>
      <c r="D32" s="87" t="s">
        <v>208</v>
      </c>
      <c r="E32" s="103">
        <v>2000</v>
      </c>
      <c r="F32" s="87" t="s">
        <v>54</v>
      </c>
      <c r="H32" s="87" t="str">
        <f>IF(Info!$H$12&gt;2.5,"Buckling shear stress",IF(Info!$H$12&gt;1.5,"Beulschubspannung","Buruşma kayma gerilmesi"))</f>
        <v>Buruşma kayma gerilmesi</v>
      </c>
      <c r="I32" s="94" t="s">
        <v>212</v>
      </c>
      <c r="J32" s="96">
        <f>J31*J29</f>
        <v>83.47041756169232</v>
      </c>
      <c r="K32" s="87" t="s">
        <v>129</v>
      </c>
      <c r="L32" s="87" t="s">
        <v>129</v>
      </c>
      <c r="M32"/>
      <c r="N32" s="94" t="s">
        <v>156</v>
      </c>
      <c r="O32" s="87" t="str">
        <f>O5</f>
        <v>Narinlik derecesi</v>
      </c>
      <c r="P32" s="94" t="s">
        <v>147</v>
      </c>
      <c r="Q32" s="95">
        <f>(E23/Q22/3^0.5)^0.5</f>
        <v>0.2676047134960912</v>
      </c>
      <c r="R32" s="87"/>
    </row>
    <row r="33" spans="1:18" ht="15.75">
      <c r="A33" s="87" t="str">
        <f>IF(Info!H12&gt;2.5,"Weight of service platform",IF(Info!H12&gt;1.5,"Gewicht des Serviceplatforms","Servis platformu birim ağırlığı"))</f>
        <v>Servis platformu birim ağırlığı</v>
      </c>
      <c r="B33" s="87"/>
      <c r="C33" s="87"/>
      <c r="D33" s="87" t="s">
        <v>209</v>
      </c>
      <c r="E33" s="103">
        <v>40</v>
      </c>
      <c r="F33" s="87" t="s">
        <v>56</v>
      </c>
      <c r="H33" s="87" t="str">
        <f>IF(Info!$H$12&gt;2.5,"Reduced buckling stress",IF(Info!$H$12&gt;1.5,"Berechnete Beulvergleichsspannung","Hespsal buruşma gerilmesi"))</f>
        <v>Hespsal buruşma gerilmesi</v>
      </c>
      <c r="I33" s="94" t="s">
        <v>218</v>
      </c>
      <c r="J33" s="96">
        <f>J20/((J17/J30)^2+(J19/J32)^2)^(0.5)</f>
        <v>326.65611037953164</v>
      </c>
      <c r="K33" s="87" t="s">
        <v>129</v>
      </c>
      <c r="L33" s="87" t="s">
        <v>129</v>
      </c>
      <c r="M33"/>
      <c r="N33" s="87" t="str">
        <f>N9</f>
        <v>Buruşma kayma gerilmesi katsayısı</v>
      </c>
      <c r="O33" s="87"/>
      <c r="P33" s="87" t="s">
        <v>146</v>
      </c>
      <c r="Q33" s="95">
        <f>0.84/Q32</f>
        <v>3.1389581634266297</v>
      </c>
      <c r="R33" s="87"/>
    </row>
    <row r="34" spans="1:18" ht="15.75">
      <c r="A34" s="87" t="str">
        <f>IF(Info!H12&gt;2.5,"Loading group coefficient ",IF(Info!H12&gt;1.5,"Erhöhungsbeiwert","Yükleme grubu katsayısı"))</f>
        <v>Yükleme grubu katsayısı</v>
      </c>
      <c r="B34" s="87"/>
      <c r="C34" s="87"/>
      <c r="D34" s="87" t="s">
        <v>134</v>
      </c>
      <c r="E34" s="100">
        <f>VLOOKUP(E29,I92:J97,2)</f>
        <v>1.05</v>
      </c>
      <c r="F34" s="87"/>
      <c r="H34" s="87" t="str">
        <f>IF(Info!$H$12&gt;2.5,"Buckling stress",IF(Info!$H$12&gt;1.5,"Vergleich-Beulspannung","Buruşma karşılaştırma gerilmesi"))</f>
        <v>Buruşma karşılaştırma gerilmesi</v>
      </c>
      <c r="I34" s="94" t="s">
        <v>213</v>
      </c>
      <c r="J34" s="91">
        <f>IF(E21="St37",VLOOKUP(J33,D58:E89,2),VLOOKUP(J33,H58:H89,2))</f>
        <v>227</v>
      </c>
      <c r="K34" s="87" t="s">
        <v>129</v>
      </c>
      <c r="L34" s="87" t="s">
        <v>129</v>
      </c>
      <c r="M34"/>
      <c r="N34" s="87" t="str">
        <f>N21</f>
        <v>Buruşma normal gerilmesi</v>
      </c>
      <c r="O34" s="87"/>
      <c r="P34" s="94" t="s">
        <v>223</v>
      </c>
      <c r="Q34" s="91">
        <f>0.8*Q31*E23/1.2</f>
        <v>160</v>
      </c>
      <c r="R34" s="87" t="s">
        <v>129</v>
      </c>
    </row>
    <row r="35" spans="1:18" ht="15.75">
      <c r="A35" s="87" t="str">
        <f>IF(Info!H12&gt;2.5,"Loading combination",IF(Info!H12&gt;1.5,"Lastkombination","Yükleme hali"))</f>
        <v>Yükleme hali</v>
      </c>
      <c r="B35" s="87"/>
      <c r="C35" s="180" t="s">
        <v>121</v>
      </c>
      <c r="D35" s="94" t="s">
        <v>153</v>
      </c>
      <c r="E35" s="91">
        <f>IF(E21="St37",VLOOKUP(C35,I58:J59,2),VLOOKUP(C35,O58:P59,2))</f>
        <v>160</v>
      </c>
      <c r="F35" s="87" t="s">
        <v>129</v>
      </c>
      <c r="H35" s="87" t="str">
        <f>IF(Info!$H$12&gt;2.5,"Available reliability ",IF(Info!$H$12&gt;1.5,"vorhandene Sicherheit","Varolan emniyet  "))</f>
        <v>Varolan emniyet  </v>
      </c>
      <c r="I35" s="87" t="s">
        <v>226</v>
      </c>
      <c r="J35" s="172">
        <f>J34/J20</f>
        <v>1.9389862350133662</v>
      </c>
      <c r="K35" s="87"/>
      <c r="L35" s="87"/>
      <c r="M35"/>
      <c r="N35" s="87" t="str">
        <f>N22</f>
        <v>Bruşma kayma gerilmesi</v>
      </c>
      <c r="O35" s="87"/>
      <c r="P35" s="94" t="s">
        <v>224</v>
      </c>
      <c r="Q35" s="91">
        <f>Q33*E23/1.2/3^0.5</f>
        <v>362.45566812586765</v>
      </c>
      <c r="R35" s="87" t="s">
        <v>129</v>
      </c>
    </row>
    <row r="36" spans="1:18" ht="14.25" customHeight="1">
      <c r="A36" s="87" t="str">
        <f>IF(Info!H12&gt;2.5,"Fatigue strength",IF(Info!H12&gt;1.5,"Dauerfestigkeit","Devamlı mukavemet"))</f>
        <v>Devamlı mukavemet</v>
      </c>
      <c r="B36" s="87"/>
      <c r="C36" s="87"/>
      <c r="D36" s="94" t="s">
        <v>210</v>
      </c>
      <c r="E36" s="91">
        <f>IF(E21="St37",I60,I61)</f>
        <v>127</v>
      </c>
      <c r="F36" s="87" t="s">
        <v>129</v>
      </c>
      <c r="H36" s="87" t="str">
        <f>IF(Info!$H$12&gt;2.5,"neces. reliability ",IF(Info!$H$12&gt;1.5,"erforderliche Sicherheit","Gerekli emniyet"))</f>
        <v>Gerekli emniyet</v>
      </c>
      <c r="I36" s="87" t="s">
        <v>149</v>
      </c>
      <c r="J36" s="172">
        <f>1.71+0.18*(E31-1)</f>
        <v>1.35</v>
      </c>
      <c r="K36" s="87"/>
      <c r="L36" s="87"/>
      <c r="M36" s="101"/>
      <c r="N36" s="87" t="str">
        <f>N25</f>
        <v>Varolan emniyet  </v>
      </c>
      <c r="O36" s="87"/>
      <c r="P36" s="87" t="s">
        <v>226</v>
      </c>
      <c r="Q36" s="172">
        <f>((J17/Q34)^2+(J19/Q35)^2)</f>
        <v>0.524284477139078</v>
      </c>
      <c r="R36" s="173"/>
    </row>
    <row r="37" spans="1:18" ht="14.25" customHeight="1">
      <c r="A37" s="32"/>
      <c r="B37" s="32"/>
      <c r="C37" s="32"/>
      <c r="D37" s="169"/>
      <c r="E37" s="175"/>
      <c r="F37" s="32"/>
      <c r="H37" s="87" t="str">
        <f>IF(Info!$H$12&gt;2.5,"Means reliability ",IF(Info!$H$12&gt;1.5,"Berechnete Sicherheit","Hesaplanan emniyet  "))</f>
        <v>Hesaplanan emniyet  </v>
      </c>
      <c r="I37" s="87" t="s">
        <v>150</v>
      </c>
      <c r="J37" s="159">
        <f>J35/J36</f>
        <v>1.4362861000099008</v>
      </c>
      <c r="K37" s="87"/>
      <c r="L37" s="173" t="str">
        <f>IF(J37&gt;1,"&gt;1","&lt;1")</f>
        <v>&gt;1</v>
      </c>
      <c r="M37" s="101"/>
      <c r="N37" s="87" t="str">
        <f>H37</f>
        <v>Hesaplanan emniyet  </v>
      </c>
      <c r="O37" s="87"/>
      <c r="P37" s="87" t="s">
        <v>150</v>
      </c>
      <c r="Q37" s="159">
        <f>J36/Q36</f>
        <v>2.5749379561391876</v>
      </c>
      <c r="R37" s="173" t="str">
        <f>IF(Q37&gt;1,"&gt;1","&lt;1")</f>
        <v>&gt;1</v>
      </c>
    </row>
    <row r="38" spans="1:14" ht="14.25" customHeight="1">
      <c r="A38" s="32"/>
      <c r="B38" s="32"/>
      <c r="C38" s="32"/>
      <c r="D38" s="169"/>
      <c r="E38" s="175"/>
      <c r="F38" s="32"/>
      <c r="H38" s="176" t="str">
        <f>IF(Info!$H$12&gt;2.5,B51,IF(Info!$H$12&gt;1.5,B50,B49))</f>
        <v>Hesaplara göre emniyet yeterlidir.</v>
      </c>
      <c r="I38" s="90"/>
      <c r="J38" s="90"/>
      <c r="M38" s="101"/>
      <c r="N38" s="86" t="str">
        <f>IF(Info!$H$12&gt;2.5,I55,IF(Info!$H$12&gt;1.5,I54,I53))</f>
        <v>Hesaplara göre emniyet yeterlidir.</v>
      </c>
    </row>
    <row r="39" spans="1:14" ht="6" customHeight="1">
      <c r="A39" s="32"/>
      <c r="B39" s="32"/>
      <c r="C39" s="32"/>
      <c r="D39" s="169"/>
      <c r="E39" s="175"/>
      <c r="F39" s="32"/>
      <c r="I39" s="170"/>
      <c r="J39" s="170"/>
      <c r="K39" s="170"/>
      <c r="L39" s="101"/>
      <c r="M39" s="101"/>
      <c r="N39" s="101"/>
    </row>
    <row r="40" spans="2:18" ht="12.75">
      <c r="B40" s="30" t="str">
        <f>1!B32</f>
        <v>Düşünceler:</v>
      </c>
      <c r="C40" s="216"/>
      <c r="D40" s="216"/>
      <c r="E40" s="216"/>
      <c r="F40" s="216"/>
      <c r="G40" s="216"/>
      <c r="H40" s="216"/>
      <c r="I40" s="216"/>
      <c r="J40" s="216"/>
      <c r="K40" s="216"/>
      <c r="L40" s="216"/>
      <c r="M40" s="216"/>
      <c r="N40" s="216"/>
      <c r="O40" s="216"/>
      <c r="P40" s="216"/>
      <c r="Q40" s="216"/>
      <c r="R40" s="216"/>
    </row>
    <row r="41" spans="3:18" ht="12.75">
      <c r="C41" s="216"/>
      <c r="D41" s="216"/>
      <c r="E41" s="216"/>
      <c r="F41" s="216"/>
      <c r="G41" s="216"/>
      <c r="H41" s="216"/>
      <c r="I41" s="216"/>
      <c r="J41" s="216"/>
      <c r="K41" s="216"/>
      <c r="L41" s="216"/>
      <c r="M41" s="216"/>
      <c r="N41" s="216"/>
      <c r="O41" s="216"/>
      <c r="P41" s="216"/>
      <c r="Q41" s="216"/>
      <c r="R41" s="216"/>
    </row>
    <row r="42" ht="10.5" customHeight="1" hidden="1"/>
    <row r="43" ht="8.25" customHeight="1" hidden="1"/>
    <row r="44" ht="12.75" hidden="1"/>
    <row r="45" spans="2:9" ht="12.75" hidden="1">
      <c r="B45" s="86" t="str">
        <f>IF(J21&gt;1,"Hesaplara göre emniyet yeterlidir.","Hesaplara göre emniyet yetersizdir!")</f>
        <v>Hesaplara göre emniyet yeterlidir.</v>
      </c>
      <c r="I45" s="86" t="str">
        <f>IF(J25&gt;1,"Hesaplara göre emniyet yeterlidir.","Hesaplara göre emniyet yetersizdir!")</f>
        <v>Hesaplara göre emniyet yeterlidir.</v>
      </c>
    </row>
    <row r="46" spans="2:9" ht="12.75" hidden="1">
      <c r="B46" s="86" t="str">
        <f>IF(J21&gt;1,"Bezug auf Berechnung die Sicherheit ist zulässig.","Bezug auf Berechnung die Sicherheit ist nicht zulässig!")</f>
        <v>Bezug auf Berechnung die Sicherheit ist zulässig.</v>
      </c>
      <c r="I46" s="86" t="str">
        <f>IF(J25&gt;1,"Bezug auf Berechnung die Sicherheit ist zulässig.","Bezug auf Berechnung die Sicherheit ist nicht zulässig!")</f>
        <v>Bezug auf Berechnung die Sicherheit ist zulässig.</v>
      </c>
    </row>
    <row r="47" spans="2:9" ht="12.75" hidden="1">
      <c r="B47" s="86" t="str">
        <f>IF(J21&gt;1,"Referring to calculation reliability is permissible.","Referring to calculation reliability is inadmissible!.")</f>
        <v>Referring to calculation reliability is permissible.</v>
      </c>
      <c r="I47" s="86" t="str">
        <f>IF(J25&gt;1,"Referring to calculation reliability is permissible.","Referring to calculation reliability is inadmissible!.")</f>
        <v>Referring to calculation reliability is permissible.</v>
      </c>
    </row>
    <row r="48" ht="12.75" hidden="1"/>
    <row r="49" spans="2:9" ht="12.75" hidden="1">
      <c r="B49" s="86" t="str">
        <f>IF(J35/J36&gt;1,"Hesaplara göre emniyet yeterlidir.","Hesaplara göre emniyet yetersizdir!")</f>
        <v>Hesaplara göre emniyet yeterlidir.</v>
      </c>
      <c r="I49" s="86" t="str">
        <f>IF(Q12&gt;1,"Hesaplara göre emniyet yeterlidir.","Hesaplara göre emniyet yetersizdir!")</f>
        <v>Hesaplara göre emniyet yeterlidir.</v>
      </c>
    </row>
    <row r="50" spans="2:9" ht="12.75" hidden="1">
      <c r="B50" s="86" t="str">
        <f>IF(J35/J36&gt;1,"Bezug auf Berechnung die Sicherheit ist zulässig.","Bezug auf Berechnung die Sicherheit ist nicht zulässig!")</f>
        <v>Bezug auf Berechnung die Sicherheit ist zulässig.</v>
      </c>
      <c r="I50" s="86" t="str">
        <f>IF(Q12&gt;1,"Bezug auf Berechnung die Sicherheit ist zulässig.","Bezug auf Berechnung die Sicherheit ist nicht zulässig!")</f>
        <v>Bezug auf Berechnung die Sicherheit ist zulässig.</v>
      </c>
    </row>
    <row r="51" spans="2:9" ht="12.75" hidden="1">
      <c r="B51" s="86" t="str">
        <f>IF(J35/J36&gt;1,"Referring to calculation reliability is permissible.","Referring to calculation reliability is inadmissible!.")</f>
        <v>Referring to calculation reliability is permissible.</v>
      </c>
      <c r="I51" s="86" t="str">
        <f>IF(Q12&gt;1,"Referring to calculation reliability is permissible.","Referring to calculation reliability is inadmissible!.")</f>
        <v>Referring to calculation reliability is permissible.</v>
      </c>
    </row>
    <row r="52" ht="12.75" hidden="1"/>
    <row r="53" spans="2:9" ht="12.75" hidden="1">
      <c r="B53" s="86" t="str">
        <f>IF(Q25&gt;J36,"Hesaplara göre emniyet yeterlidir.","Hesaplara göre emniyet yetersizdir!")</f>
        <v>Hesaplara göre emniyet yeterlidir.</v>
      </c>
      <c r="I53" s="86" t="str">
        <f>IF(Q37&gt;1,"Hesaplara göre emniyet yeterlidir.","Hesaplara göre emniyet yetersizdir!")</f>
        <v>Hesaplara göre emniyet yeterlidir.</v>
      </c>
    </row>
    <row r="54" spans="2:9" ht="12.75" hidden="1">
      <c r="B54" s="86" t="str">
        <f>IF(Q25&gt;J36,"Bezug auf Berechnung die Sicherheit ist zulässig.","Bezug auf Berechnung die Sicherheit ist nicht zulässig!")</f>
        <v>Bezug auf Berechnung die Sicherheit ist zulässig.</v>
      </c>
      <c r="I54" s="86" t="str">
        <f>IF(Q37&gt;1,"Bezug auf Berechnung die Sicherheit ist zulässig.","Bezug auf Berechnung die Sicherheit ist nicht zulässig!")</f>
        <v>Bezug auf Berechnung die Sicherheit ist zulässig.</v>
      </c>
    </row>
    <row r="55" spans="2:9" ht="12.75" hidden="1">
      <c r="B55" s="86" t="str">
        <f>IF(Q25&gt;J36,"Referring to calculation reliability is permissible.","Referring to calculation reliability is inadmissible!.")</f>
        <v>Referring to calculation reliability is permissible.</v>
      </c>
      <c r="I55" s="86" t="str">
        <f>IF(Q37&gt;1,"Referring to calculation reliability is permissible.","Referring to calculation reliability is inadmissible!.")</f>
        <v>Referring to calculation reliability is permissible.</v>
      </c>
    </row>
    <row r="56" ht="12.75" hidden="1"/>
    <row r="57" spans="2:15" ht="22.5" customHeight="1" hidden="1">
      <c r="B57" s="31" t="s">
        <v>121</v>
      </c>
      <c r="D57" s="31" t="s">
        <v>195</v>
      </c>
      <c r="H57" s="31" t="s">
        <v>196</v>
      </c>
      <c r="I57" s="31" t="s">
        <v>195</v>
      </c>
      <c r="O57" s="31" t="s">
        <v>196</v>
      </c>
    </row>
    <row r="58" spans="2:16" ht="15.75" hidden="1">
      <c r="B58" s="31" t="s">
        <v>197</v>
      </c>
      <c r="D58" s="160">
        <v>157</v>
      </c>
      <c r="E58" s="161">
        <v>157</v>
      </c>
      <c r="F58" s="161"/>
      <c r="H58" s="160">
        <v>157</v>
      </c>
      <c r="I58" s="164" t="s">
        <v>121</v>
      </c>
      <c r="J58" s="164">
        <v>160</v>
      </c>
      <c r="O58" s="164" t="s">
        <v>121</v>
      </c>
      <c r="P58" s="164">
        <v>240</v>
      </c>
    </row>
    <row r="59" spans="4:16" ht="15.75" hidden="1">
      <c r="D59" s="160">
        <v>192</v>
      </c>
      <c r="E59" s="160">
        <v>192</v>
      </c>
      <c r="F59" s="160"/>
      <c r="G59" s="32"/>
      <c r="H59" s="160">
        <v>192</v>
      </c>
      <c r="I59" s="164" t="s">
        <v>197</v>
      </c>
      <c r="J59" s="164">
        <v>180</v>
      </c>
      <c r="O59" s="164" t="s">
        <v>197</v>
      </c>
      <c r="P59" s="164">
        <v>270</v>
      </c>
    </row>
    <row r="60" spans="4:9" ht="15.75" hidden="1">
      <c r="D60" s="160">
        <v>200</v>
      </c>
      <c r="E60" s="160">
        <v>198</v>
      </c>
      <c r="F60" s="160"/>
      <c r="G60" s="32"/>
      <c r="H60" s="160">
        <v>200</v>
      </c>
      <c r="I60" s="31">
        <f>IF(E28="K2",VLOOKUP(E29,I63:J68,2),IF(E28="k3",VLOOKUP(E29,I71:J76,2),VLOOKUP(E29,I79:J84,2)))</f>
        <v>127</v>
      </c>
    </row>
    <row r="61" spans="4:9" ht="15.75" hidden="1">
      <c r="D61" s="160">
        <v>210</v>
      </c>
      <c r="E61" s="160">
        <v>204</v>
      </c>
      <c r="F61" s="160"/>
      <c r="G61" s="32"/>
      <c r="H61" s="160">
        <v>210</v>
      </c>
      <c r="I61" s="31">
        <f>IF(E28="K2",VLOOKUP(E29,O63:P68,2),IF(E28="K3",VLOOKUP(E29,O71:P76,2),VLOOKUP(E29,O79:P84,2)))</f>
        <v>127</v>
      </c>
    </row>
    <row r="62" spans="4:16" ht="15.75" hidden="1">
      <c r="D62" s="160">
        <v>220</v>
      </c>
      <c r="E62" s="160">
        <v>208</v>
      </c>
      <c r="F62" s="160"/>
      <c r="G62" s="32"/>
      <c r="H62" s="160">
        <v>220</v>
      </c>
      <c r="I62" s="164" t="s">
        <v>198</v>
      </c>
      <c r="J62" s="165"/>
      <c r="O62" s="164" t="s">
        <v>198</v>
      </c>
      <c r="P62" s="165"/>
    </row>
    <row r="63" spans="4:16" ht="15.75" hidden="1">
      <c r="D63" s="160">
        <v>230</v>
      </c>
      <c r="E63" s="160">
        <v>211</v>
      </c>
      <c r="F63" s="160"/>
      <c r="G63" s="32"/>
      <c r="H63" s="160">
        <v>230</v>
      </c>
      <c r="I63" s="164" t="s">
        <v>200</v>
      </c>
      <c r="J63" s="164">
        <v>180</v>
      </c>
      <c r="O63" s="164" t="s">
        <v>200</v>
      </c>
      <c r="P63" s="164">
        <v>270</v>
      </c>
    </row>
    <row r="64" spans="4:16" ht="15.75" hidden="1">
      <c r="D64" s="160">
        <v>240</v>
      </c>
      <c r="E64" s="160">
        <v>214</v>
      </c>
      <c r="F64" s="160"/>
      <c r="G64" s="32"/>
      <c r="H64" s="160">
        <v>240</v>
      </c>
      <c r="I64" s="164" t="s">
        <v>201</v>
      </c>
      <c r="J64" s="164">
        <v>180</v>
      </c>
      <c r="O64" s="164" t="s">
        <v>201</v>
      </c>
      <c r="P64" s="164">
        <v>252</v>
      </c>
    </row>
    <row r="65" spans="4:16" ht="15.75" hidden="1">
      <c r="D65" s="160">
        <v>250</v>
      </c>
      <c r="E65" s="160">
        <v>216</v>
      </c>
      <c r="F65" s="160"/>
      <c r="G65" s="32"/>
      <c r="H65" s="160">
        <v>250</v>
      </c>
      <c r="I65" s="164" t="s">
        <v>139</v>
      </c>
      <c r="J65" s="164">
        <v>178</v>
      </c>
      <c r="O65" s="164" t="s">
        <v>139</v>
      </c>
      <c r="P65" s="164">
        <v>178</v>
      </c>
    </row>
    <row r="66" spans="4:16" ht="20.25" customHeight="1" hidden="1">
      <c r="D66" s="160">
        <v>260</v>
      </c>
      <c r="E66" s="160">
        <v>218</v>
      </c>
      <c r="F66" s="160"/>
      <c r="G66" s="32"/>
      <c r="H66" s="160">
        <v>260</v>
      </c>
      <c r="I66" s="164" t="s">
        <v>202</v>
      </c>
      <c r="J66" s="164">
        <v>126</v>
      </c>
      <c r="O66" s="164" t="s">
        <v>202</v>
      </c>
      <c r="P66" s="164">
        <v>126</v>
      </c>
    </row>
    <row r="67" spans="4:16" ht="20.25" customHeight="1" hidden="1">
      <c r="D67" s="160">
        <v>270</v>
      </c>
      <c r="E67" s="160">
        <v>219</v>
      </c>
      <c r="F67" s="160"/>
      <c r="G67" s="32"/>
      <c r="H67" s="160">
        <v>270</v>
      </c>
      <c r="I67" s="164" t="s">
        <v>203</v>
      </c>
      <c r="J67" s="164">
        <v>89</v>
      </c>
      <c r="O67" s="164" t="s">
        <v>203</v>
      </c>
      <c r="P67" s="164">
        <v>89</v>
      </c>
    </row>
    <row r="68" spans="4:16" ht="15.75" hidden="1">
      <c r="D68" s="160">
        <v>280</v>
      </c>
      <c r="E68" s="160">
        <v>221</v>
      </c>
      <c r="F68" s="160"/>
      <c r="G68" s="32"/>
      <c r="H68" s="160">
        <v>280</v>
      </c>
      <c r="I68" s="164" t="s">
        <v>204</v>
      </c>
      <c r="J68" s="164">
        <v>63</v>
      </c>
      <c r="O68" s="164" t="s">
        <v>204</v>
      </c>
      <c r="P68" s="164">
        <v>63</v>
      </c>
    </row>
    <row r="69" spans="4:16" ht="20.25" customHeight="1" hidden="1">
      <c r="D69" s="160">
        <v>288</v>
      </c>
      <c r="E69" s="160">
        <v>222</v>
      </c>
      <c r="F69" s="160"/>
      <c r="G69" s="32"/>
      <c r="H69" s="160">
        <v>288</v>
      </c>
      <c r="O69" s="165"/>
      <c r="P69" s="165"/>
    </row>
    <row r="70" spans="4:16" ht="15.75" hidden="1">
      <c r="D70" s="160">
        <v>290</v>
      </c>
      <c r="E70" s="160">
        <v>223</v>
      </c>
      <c r="F70" s="160"/>
      <c r="G70" s="32"/>
      <c r="H70" s="160">
        <v>290</v>
      </c>
      <c r="I70" s="164" t="s">
        <v>199</v>
      </c>
      <c r="J70" s="165"/>
      <c r="O70" s="164" t="s">
        <v>199</v>
      </c>
      <c r="P70" s="165"/>
    </row>
    <row r="71" spans="4:16" ht="15.75" hidden="1">
      <c r="D71" s="160">
        <v>300</v>
      </c>
      <c r="E71" s="160">
        <v>225</v>
      </c>
      <c r="F71" s="160"/>
      <c r="G71" s="32"/>
      <c r="H71" s="160">
        <v>300</v>
      </c>
      <c r="I71" s="164" t="s">
        <v>200</v>
      </c>
      <c r="J71" s="164">
        <v>180</v>
      </c>
      <c r="O71" s="164" t="s">
        <v>200</v>
      </c>
      <c r="P71" s="164">
        <v>254</v>
      </c>
    </row>
    <row r="72" spans="4:16" ht="15.75" hidden="1">
      <c r="D72" s="160">
        <v>320</v>
      </c>
      <c r="E72" s="160">
        <v>227</v>
      </c>
      <c r="F72" s="160"/>
      <c r="G72" s="32"/>
      <c r="H72" s="160">
        <v>320</v>
      </c>
      <c r="I72" s="164" t="s">
        <v>201</v>
      </c>
      <c r="J72" s="164">
        <v>180</v>
      </c>
      <c r="O72" s="164" t="s">
        <v>201</v>
      </c>
      <c r="P72" s="164">
        <v>180</v>
      </c>
    </row>
    <row r="73" spans="4:16" ht="15.75" hidden="1">
      <c r="D73" s="160">
        <v>340</v>
      </c>
      <c r="E73" s="160">
        <v>228</v>
      </c>
      <c r="F73" s="160"/>
      <c r="G73" s="32"/>
      <c r="H73" s="160">
        <v>340</v>
      </c>
      <c r="I73" s="164" t="s">
        <v>139</v>
      </c>
      <c r="J73" s="164">
        <v>127</v>
      </c>
      <c r="O73" s="164" t="s">
        <v>139</v>
      </c>
      <c r="P73" s="164">
        <v>127</v>
      </c>
    </row>
    <row r="74" spans="4:16" ht="15.75" hidden="1">
      <c r="D74" s="160">
        <v>360</v>
      </c>
      <c r="E74" s="160">
        <v>228</v>
      </c>
      <c r="F74" s="160"/>
      <c r="G74" s="32"/>
      <c r="H74" s="160">
        <v>360</v>
      </c>
      <c r="I74" s="164" t="s">
        <v>202</v>
      </c>
      <c r="J74" s="164">
        <v>90</v>
      </c>
      <c r="O74" s="164" t="s">
        <v>202</v>
      </c>
      <c r="P74" s="164">
        <v>90</v>
      </c>
    </row>
    <row r="75" spans="4:16" ht="15.75" hidden="1">
      <c r="D75" s="160">
        <v>380</v>
      </c>
      <c r="E75" s="160">
        <v>229</v>
      </c>
      <c r="F75" s="160"/>
      <c r="H75" s="160">
        <v>380</v>
      </c>
      <c r="I75" s="164" t="s">
        <v>203</v>
      </c>
      <c r="J75" s="164">
        <v>63</v>
      </c>
      <c r="O75" s="164" t="s">
        <v>203</v>
      </c>
      <c r="P75" s="164">
        <v>63</v>
      </c>
    </row>
    <row r="76" spans="4:16" ht="15.75" hidden="1">
      <c r="D76" s="160">
        <v>400</v>
      </c>
      <c r="E76" s="160">
        <v>230</v>
      </c>
      <c r="F76" s="160"/>
      <c r="H76" s="160">
        <v>400</v>
      </c>
      <c r="I76" s="164" t="s">
        <v>204</v>
      </c>
      <c r="J76" s="164">
        <v>45</v>
      </c>
      <c r="O76" s="164" t="s">
        <v>204</v>
      </c>
      <c r="P76" s="164">
        <v>45</v>
      </c>
    </row>
    <row r="77" spans="4:16" ht="15.75" hidden="1">
      <c r="D77" s="160">
        <v>420</v>
      </c>
      <c r="E77" s="160">
        <v>231</v>
      </c>
      <c r="F77" s="160"/>
      <c r="H77" s="160">
        <v>420</v>
      </c>
      <c r="O77" s="165"/>
      <c r="P77" s="165"/>
    </row>
    <row r="78" spans="4:16" ht="15.75" hidden="1">
      <c r="D78" s="160">
        <v>440</v>
      </c>
      <c r="E78" s="160">
        <v>232</v>
      </c>
      <c r="F78" s="160"/>
      <c r="H78" s="160">
        <v>440</v>
      </c>
      <c r="I78" s="164" t="s">
        <v>172</v>
      </c>
      <c r="J78" s="165"/>
      <c r="O78" s="164" t="s">
        <v>172</v>
      </c>
      <c r="P78" s="165"/>
    </row>
    <row r="79" spans="4:16" ht="15.75" hidden="1">
      <c r="D79" s="160">
        <v>460</v>
      </c>
      <c r="E79" s="160">
        <v>232</v>
      </c>
      <c r="F79" s="160"/>
      <c r="H79" s="160">
        <v>460</v>
      </c>
      <c r="I79" s="164" t="s">
        <v>200</v>
      </c>
      <c r="J79" s="164">
        <v>152</v>
      </c>
      <c r="O79" s="164" t="s">
        <v>200</v>
      </c>
      <c r="P79" s="164">
        <v>152</v>
      </c>
    </row>
    <row r="80" spans="4:16" ht="15.75" hidden="1">
      <c r="D80" s="160">
        <v>480</v>
      </c>
      <c r="E80" s="160">
        <v>233</v>
      </c>
      <c r="F80" s="160"/>
      <c r="H80" s="160">
        <v>480</v>
      </c>
      <c r="I80" s="164" t="s">
        <v>201</v>
      </c>
      <c r="J80" s="164">
        <v>108</v>
      </c>
      <c r="O80" s="164" t="s">
        <v>201</v>
      </c>
      <c r="P80" s="164">
        <v>108</v>
      </c>
    </row>
    <row r="81" spans="4:16" ht="15.75" hidden="1">
      <c r="D81" s="160">
        <v>500</v>
      </c>
      <c r="E81" s="160">
        <v>233</v>
      </c>
      <c r="F81" s="160"/>
      <c r="H81" s="160">
        <v>500</v>
      </c>
      <c r="I81" s="164" t="s">
        <v>139</v>
      </c>
      <c r="J81" s="164">
        <v>76</v>
      </c>
      <c r="O81" s="164" t="s">
        <v>139</v>
      </c>
      <c r="P81" s="164">
        <v>76</v>
      </c>
    </row>
    <row r="82" spans="4:16" ht="15.75" hidden="1">
      <c r="D82" s="160">
        <v>550</v>
      </c>
      <c r="E82" s="160">
        <v>234</v>
      </c>
      <c r="F82" s="160"/>
      <c r="H82" s="160">
        <v>550</v>
      </c>
      <c r="I82" s="164" t="s">
        <v>202</v>
      </c>
      <c r="J82" s="164">
        <v>54</v>
      </c>
      <c r="O82" s="164" t="s">
        <v>202</v>
      </c>
      <c r="P82" s="164">
        <v>54</v>
      </c>
    </row>
    <row r="83" spans="4:16" ht="15.75" hidden="1">
      <c r="D83" s="160">
        <v>600</v>
      </c>
      <c r="E83" s="160">
        <v>235</v>
      </c>
      <c r="F83" s="160"/>
      <c r="H83" s="160">
        <v>600</v>
      </c>
      <c r="I83" s="164" t="s">
        <v>203</v>
      </c>
      <c r="J83" s="164">
        <v>38</v>
      </c>
      <c r="O83" s="164" t="s">
        <v>203</v>
      </c>
      <c r="P83" s="164">
        <v>38</v>
      </c>
    </row>
    <row r="84" spans="4:16" ht="15.75" hidden="1">
      <c r="D84" s="160">
        <v>650</v>
      </c>
      <c r="E84" s="160">
        <v>235</v>
      </c>
      <c r="F84" s="160"/>
      <c r="H84" s="160">
        <v>650</v>
      </c>
      <c r="I84" s="164" t="s">
        <v>204</v>
      </c>
      <c r="J84" s="164">
        <v>27</v>
      </c>
      <c r="O84" s="164" t="s">
        <v>204</v>
      </c>
      <c r="P84" s="164">
        <v>27</v>
      </c>
    </row>
    <row r="85" spans="4:16" ht="15.75" hidden="1">
      <c r="D85" s="160">
        <v>700</v>
      </c>
      <c r="E85" s="160">
        <v>236</v>
      </c>
      <c r="F85" s="160"/>
      <c r="H85" s="160">
        <v>700</v>
      </c>
      <c r="O85" s="165"/>
      <c r="P85" s="165"/>
    </row>
    <row r="86" spans="4:8" ht="15.75" hidden="1">
      <c r="D86" s="160">
        <v>800</v>
      </c>
      <c r="E86" s="160">
        <v>237</v>
      </c>
      <c r="F86" s="160"/>
      <c r="H86" s="160">
        <v>800</v>
      </c>
    </row>
    <row r="87" spans="4:8" ht="15.75" hidden="1">
      <c r="D87" s="160" t="s">
        <v>192</v>
      </c>
      <c r="E87" s="160">
        <v>237</v>
      </c>
      <c r="F87" s="160"/>
      <c r="H87" s="160" t="s">
        <v>192</v>
      </c>
    </row>
    <row r="88" spans="4:8" ht="15.75" hidden="1">
      <c r="D88" s="160" t="s">
        <v>193</v>
      </c>
      <c r="E88" s="160">
        <v>239</v>
      </c>
      <c r="F88" s="160"/>
      <c r="H88" s="160" t="s">
        <v>193</v>
      </c>
    </row>
    <row r="89" spans="4:8" ht="15.75" hidden="1">
      <c r="D89" s="161" t="s">
        <v>194</v>
      </c>
      <c r="E89" s="160">
        <v>240</v>
      </c>
      <c r="F89" s="160"/>
      <c r="H89" s="161" t="s">
        <v>194</v>
      </c>
    </row>
    <row r="90" spans="8:14" ht="19.5" customHeight="1" hidden="1">
      <c r="H90" s="32"/>
      <c r="N90" s="32"/>
    </row>
    <row r="91" spans="8:14" ht="19.5" customHeight="1" hidden="1">
      <c r="H91" s="32"/>
      <c r="N91" s="32"/>
    </row>
    <row r="92" spans="4:10" ht="19.5" customHeight="1" hidden="1">
      <c r="D92" s="31" t="s">
        <v>195</v>
      </c>
      <c r="E92" s="31" t="s">
        <v>198</v>
      </c>
      <c r="F92" s="31" t="s">
        <v>200</v>
      </c>
      <c r="I92" s="164" t="s">
        <v>200</v>
      </c>
      <c r="J92" s="168">
        <v>1</v>
      </c>
    </row>
    <row r="93" spans="4:10" ht="19.5" customHeight="1" hidden="1">
      <c r="D93" s="31" t="s">
        <v>205</v>
      </c>
      <c r="E93" s="31" t="s">
        <v>199</v>
      </c>
      <c r="F93" s="31" t="s">
        <v>201</v>
      </c>
      <c r="I93" s="164" t="s">
        <v>201</v>
      </c>
      <c r="J93" s="168">
        <v>1.02</v>
      </c>
    </row>
    <row r="94" spans="5:10" ht="19.5" customHeight="1" hidden="1">
      <c r="E94" s="31" t="s">
        <v>172</v>
      </c>
      <c r="F94" s="31" t="s">
        <v>139</v>
      </c>
      <c r="I94" s="164" t="s">
        <v>139</v>
      </c>
      <c r="J94" s="168">
        <v>1.05</v>
      </c>
    </row>
    <row r="95" spans="6:10" ht="19.5" customHeight="1" hidden="1">
      <c r="F95" s="31" t="s">
        <v>202</v>
      </c>
      <c r="I95" s="164" t="s">
        <v>202</v>
      </c>
      <c r="J95" s="168">
        <v>1.08</v>
      </c>
    </row>
    <row r="96" spans="6:10" ht="19.5" customHeight="1" hidden="1">
      <c r="F96" s="31" t="s">
        <v>203</v>
      </c>
      <c r="I96" s="164" t="s">
        <v>203</v>
      </c>
      <c r="J96" s="168">
        <v>1.14</v>
      </c>
    </row>
    <row r="97" spans="9:10" ht="19.5" customHeight="1" hidden="1">
      <c r="I97" s="164" t="s">
        <v>204</v>
      </c>
      <c r="J97" s="168">
        <v>1.2</v>
      </c>
    </row>
    <row r="98" ht="19.5" customHeight="1" hidden="1"/>
    <row r="99" ht="19.5" customHeight="1" hidden="1"/>
    <row r="100" ht="19.5" customHeight="1" hidden="1"/>
    <row r="101" ht="19.5" customHeight="1"/>
    <row r="102" ht="19.5" customHeight="1"/>
  </sheetData>
  <sheetProtection/>
  <mergeCells count="2">
    <mergeCell ref="C40:R41"/>
    <mergeCell ref="F1:H1"/>
  </mergeCells>
  <dataValidations count="4">
    <dataValidation type="list" allowBlank="1" showInputMessage="1" showErrorMessage="1" sqref="E28">
      <formula1>$E$92:$E$94</formula1>
    </dataValidation>
    <dataValidation type="list" allowBlank="1" showInputMessage="1" showErrorMessage="1" sqref="E21">
      <formula1>$D$92:$D$93</formula1>
    </dataValidation>
    <dataValidation type="list" allowBlank="1" showInputMessage="1" showErrorMessage="1" sqref="E29">
      <formula1>$F$92:$F$96</formula1>
    </dataValidation>
    <dataValidation type="list" allowBlank="1" showInputMessage="1" showErrorMessage="1" sqref="C35">
      <formula1>$B$57:$B$58</formula1>
    </dataValidation>
  </dataValidations>
  <printOptions/>
  <pageMargins left="0.5905511811023623" right="0.5905511811023623" top="0.5905511811023623" bottom="0.3937007874015748" header="0.5118110236220472" footer="0.5118110236220472"/>
  <pageSetup horizontalDpi="600" verticalDpi="600" orientation="landscape" paperSize="9" scale="85" r:id="rId3"/>
  <headerFooter alignWithMargins="0">
    <oddFooter>&amp;L&amp;D / &amp;F / &amp;A&amp;R&amp;P / &amp;N</oddFooter>
  </headerFooter>
  <ignoredErrors>
    <ignoredError sqref="H36" formula="1"/>
    <ignoredError sqref="E18" unlockedFormula="1"/>
  </ignoredErrors>
  <legacyDrawing r:id="rId2"/>
  <oleObjects>
    <oleObject progId="AutoCAD.Drawing.15" shapeId="1156152" r:id="rId1"/>
  </oleObjects>
</worksheet>
</file>

<file path=xl/worksheets/sheet5.xml><?xml version="1.0" encoding="utf-8"?>
<worksheet xmlns="http://schemas.openxmlformats.org/spreadsheetml/2006/main" xmlns:r="http://schemas.openxmlformats.org/officeDocument/2006/relationships">
  <dimension ref="A1:BP40"/>
  <sheetViews>
    <sheetView showGridLines="0" showRowColHeaders="0" zoomScale="95" zoomScaleNormal="95" workbookViewId="0" topLeftCell="A1">
      <selection activeCell="R5" sqref="R5"/>
    </sheetView>
  </sheetViews>
  <sheetFormatPr defaultColWidth="11.5546875" defaultRowHeight="24" customHeight="1"/>
  <cols>
    <col min="1" max="1" width="2.4453125" style="1" customWidth="1"/>
    <col min="2" max="2" width="6.3359375" style="1" customWidth="1"/>
    <col min="3" max="8" width="4.77734375" style="1" customWidth="1"/>
    <col min="9" max="13" width="6.3359375" style="2" customWidth="1"/>
    <col min="14" max="15" width="9.3359375" style="2" customWidth="1"/>
    <col min="16" max="20" width="7.3359375" style="2" customWidth="1"/>
    <col min="21" max="24" width="4.3359375" style="19" hidden="1" customWidth="1"/>
    <col min="25" max="26" width="7.3359375" style="2" hidden="1" customWidth="1"/>
    <col min="27" max="31" width="6.77734375" style="1" hidden="1" customWidth="1"/>
    <col min="32" max="69" width="6.3359375" style="1" hidden="1" customWidth="1"/>
    <col min="70" max="197" width="6.3359375" style="1" customWidth="1"/>
    <col min="198" max="16384" width="11.5546875" style="1" customWidth="1"/>
  </cols>
  <sheetData>
    <row r="1" spans="2:16" ht="19.5" customHeight="1">
      <c r="B1" s="76" t="str">
        <f>2!P1</f>
        <v>www.guven-kutay.ch</v>
      </c>
      <c r="P1" s="2" t="str">
        <f>Info!B11</f>
        <v>Copyright : M. G. Kutay , Ver 09.01</v>
      </c>
    </row>
    <row r="2" spans="8:16" ht="19.5" customHeight="1">
      <c r="H2" s="35"/>
      <c r="I2" s="41"/>
      <c r="J2" s="19"/>
      <c r="K2" s="19"/>
      <c r="L2" s="19"/>
      <c r="M2" s="19"/>
      <c r="N2" s="19"/>
      <c r="O2" s="111"/>
      <c r="P2" s="19"/>
    </row>
    <row r="3" spans="1:16" ht="19.5" customHeight="1">
      <c r="A3" s="4"/>
      <c r="B3" s="35"/>
      <c r="C3" s="35"/>
      <c r="D3" s="35"/>
      <c r="E3" s="35"/>
      <c r="F3" s="35"/>
      <c r="G3" s="35"/>
      <c r="H3" s="35"/>
      <c r="I3" s="19"/>
      <c r="J3" s="19"/>
      <c r="K3" s="19"/>
      <c r="L3" s="36"/>
      <c r="M3" s="36"/>
      <c r="N3" s="36"/>
      <c r="O3" s="19"/>
      <c r="P3" s="19"/>
    </row>
    <row r="4" spans="1:16" ht="19.5" customHeight="1">
      <c r="A4" s="4"/>
      <c r="B4" s="35"/>
      <c r="C4" s="35"/>
      <c r="D4" s="35"/>
      <c r="E4" s="35"/>
      <c r="F4" s="35"/>
      <c r="G4" s="35"/>
      <c r="H4" s="35"/>
      <c r="I4" s="19"/>
      <c r="J4" s="19"/>
      <c r="K4" s="19"/>
      <c r="L4" s="36"/>
      <c r="M4" s="36"/>
      <c r="N4" s="36"/>
      <c r="O4" s="19"/>
      <c r="P4" s="19"/>
    </row>
    <row r="5" spans="1:16" ht="19.5" customHeight="1">
      <c r="A5" s="4"/>
      <c r="B5" s="19" t="str">
        <f>IF(Info!H12&gt;2.5,"Standart box beam",IF(Info!H12&gt;1.5,"Konstruktion: Normierter Kastenträger ",IF(Info!H12&gt;0.5,"Konstruksiyon : Standart Kutu Kiriş","")))</f>
        <v>Konstruksiyon : Standart Kutu Kiriş</v>
      </c>
      <c r="C5" s="35"/>
      <c r="D5" s="35"/>
      <c r="E5" s="35"/>
      <c r="F5" s="35"/>
      <c r="G5" s="35"/>
      <c r="H5" s="35"/>
      <c r="I5" s="19"/>
      <c r="J5" s="19"/>
      <c r="K5" s="19"/>
      <c r="L5" s="36"/>
      <c r="M5" s="36"/>
      <c r="N5" s="36"/>
      <c r="O5" s="19"/>
      <c r="P5" s="19"/>
    </row>
    <row r="6" spans="1:16" ht="19.5" customHeight="1">
      <c r="A6" s="4"/>
      <c r="B6" s="35"/>
      <c r="C6" s="35"/>
      <c r="D6" s="35"/>
      <c r="E6" s="35"/>
      <c r="F6" s="35"/>
      <c r="G6" s="35"/>
      <c r="H6" s="35"/>
      <c r="I6" s="19"/>
      <c r="J6" s="19"/>
      <c r="K6" s="19"/>
      <c r="L6" s="36"/>
      <c r="M6" s="36"/>
      <c r="N6" s="36"/>
      <c r="O6" s="19"/>
      <c r="P6" s="19"/>
    </row>
    <row r="7" spans="1:16" ht="19.5" customHeight="1">
      <c r="A7" s="4"/>
      <c r="B7" s="35"/>
      <c r="C7" s="35"/>
      <c r="D7" s="35"/>
      <c r="E7" s="35"/>
      <c r="F7" s="35"/>
      <c r="G7" s="35"/>
      <c r="H7" s="35"/>
      <c r="I7" s="19"/>
      <c r="J7" s="19"/>
      <c r="K7" s="19"/>
      <c r="L7" s="36"/>
      <c r="M7" s="36"/>
      <c r="N7" s="36"/>
      <c r="O7" s="19"/>
      <c r="P7" s="19"/>
    </row>
    <row r="8" spans="1:16" ht="19.5" customHeight="1">
      <c r="A8" s="4"/>
      <c r="B8" s="35"/>
      <c r="C8" s="35"/>
      <c r="D8" s="35"/>
      <c r="E8" s="35"/>
      <c r="F8" s="35"/>
      <c r="G8" s="35"/>
      <c r="H8" s="35"/>
      <c r="I8" s="19"/>
      <c r="J8" s="19"/>
      <c r="K8" s="19"/>
      <c r="L8" s="36"/>
      <c r="M8" s="36"/>
      <c r="N8" s="36"/>
      <c r="O8" s="19"/>
      <c r="P8" s="19"/>
    </row>
    <row r="9" spans="1:16" ht="19.5" customHeight="1">
      <c r="A9" s="4"/>
      <c r="B9" s="35"/>
      <c r="C9" s="35"/>
      <c r="D9" s="35"/>
      <c r="E9" s="35"/>
      <c r="F9" s="35"/>
      <c r="G9" s="35"/>
      <c r="H9" s="35"/>
      <c r="I9" s="19"/>
      <c r="J9" s="19"/>
      <c r="K9" s="19"/>
      <c r="L9" s="36"/>
      <c r="M9" s="36"/>
      <c r="N9" s="36"/>
      <c r="O9" s="19"/>
      <c r="P9" s="19"/>
    </row>
    <row r="10" spans="1:16" ht="19.5" customHeight="1">
      <c r="A10" s="4"/>
      <c r="B10" s="35"/>
      <c r="C10" s="35"/>
      <c r="D10" s="35"/>
      <c r="E10" s="35"/>
      <c r="F10" s="35"/>
      <c r="G10" s="35"/>
      <c r="H10" s="35"/>
      <c r="I10" s="19"/>
      <c r="J10" s="19"/>
      <c r="K10" s="19"/>
      <c r="L10" s="36"/>
      <c r="M10" s="36"/>
      <c r="N10" s="36"/>
      <c r="O10" s="19"/>
      <c r="P10" s="19"/>
    </row>
    <row r="11" spans="1:16" ht="19.5" customHeight="1">
      <c r="A11" s="4"/>
      <c r="B11" s="35"/>
      <c r="C11" s="35"/>
      <c r="D11" s="35"/>
      <c r="E11" s="35"/>
      <c r="F11" s="35"/>
      <c r="G11" s="35"/>
      <c r="H11" s="35"/>
      <c r="I11" s="19"/>
      <c r="J11" s="19"/>
      <c r="K11" s="19"/>
      <c r="L11" s="36"/>
      <c r="M11" s="36"/>
      <c r="N11" s="36"/>
      <c r="O11" s="19"/>
      <c r="P11" s="19"/>
    </row>
    <row r="12" spans="1:16" ht="19.5" customHeight="1">
      <c r="A12" s="4"/>
      <c r="B12" s="35"/>
      <c r="C12" s="35"/>
      <c r="D12" s="35"/>
      <c r="E12" s="35"/>
      <c r="F12" s="35"/>
      <c r="G12" s="35"/>
      <c r="H12" s="35"/>
      <c r="I12" s="35"/>
      <c r="J12" s="35"/>
      <c r="K12" s="112"/>
      <c r="L12" s="36"/>
      <c r="M12" s="36"/>
      <c r="N12" s="36"/>
      <c r="O12" s="19"/>
      <c r="P12" s="19"/>
    </row>
    <row r="13" spans="1:57" ht="19.5" customHeight="1">
      <c r="A13" s="4"/>
      <c r="B13" s="218" t="str">
        <f>IF(Info!H12&gt;2.5,"SBB",IF(Info!H12&gt;1.5,"NKT",IF(Info!H12&gt;0.5,"SKK","")))</f>
        <v>SKK</v>
      </c>
      <c r="C13" s="123" t="s">
        <v>61</v>
      </c>
      <c r="D13" s="123" t="s">
        <v>176</v>
      </c>
      <c r="E13" s="123" t="s">
        <v>11</v>
      </c>
      <c r="F13" s="123" t="s">
        <v>12</v>
      </c>
      <c r="G13" s="123" t="s">
        <v>184</v>
      </c>
      <c r="H13" s="123" t="s">
        <v>183</v>
      </c>
      <c r="I13" s="123" t="s">
        <v>121</v>
      </c>
      <c r="J13" s="145" t="s">
        <v>180</v>
      </c>
      <c r="K13" s="145" t="s">
        <v>181</v>
      </c>
      <c r="L13" s="145" t="s">
        <v>186</v>
      </c>
      <c r="M13" s="146" t="s">
        <v>187</v>
      </c>
      <c r="N13" s="123" t="s">
        <v>6</v>
      </c>
      <c r="O13" s="123" t="s">
        <v>8</v>
      </c>
      <c r="P13" s="123" t="s">
        <v>7</v>
      </c>
      <c r="Q13" s="123" t="s">
        <v>9</v>
      </c>
      <c r="R13" s="123" t="s">
        <v>62</v>
      </c>
      <c r="S13" s="123" t="s">
        <v>185</v>
      </c>
      <c r="T13" s="123" t="s">
        <v>35</v>
      </c>
      <c r="U13" s="26"/>
      <c r="Y13" s="113" t="s">
        <v>20</v>
      </c>
      <c r="Z13" s="1"/>
      <c r="AA13" s="113" t="s">
        <v>31</v>
      </c>
      <c r="AB13" s="113" t="s">
        <v>32</v>
      </c>
      <c r="AC13" s="113" t="s">
        <v>33</v>
      </c>
      <c r="AD13" s="113" t="s">
        <v>34</v>
      </c>
      <c r="AE13" s="113" t="s">
        <v>5</v>
      </c>
      <c r="AF13" s="113" t="s">
        <v>21</v>
      </c>
      <c r="AG13" s="113" t="s">
        <v>22</v>
      </c>
      <c r="AH13" s="113" t="s">
        <v>23</v>
      </c>
      <c r="AI13" s="113" t="s">
        <v>27</v>
      </c>
      <c r="AJ13" s="113" t="s">
        <v>24</v>
      </c>
      <c r="AK13" s="113" t="s">
        <v>28</v>
      </c>
      <c r="AL13" s="113" t="s">
        <v>25</v>
      </c>
      <c r="AM13" s="113" t="s">
        <v>29</v>
      </c>
      <c r="AN13" s="113" t="s">
        <v>26</v>
      </c>
      <c r="AO13" s="113" t="s">
        <v>30</v>
      </c>
      <c r="AP13" s="113" t="s">
        <v>0</v>
      </c>
      <c r="AQ13" s="113" t="s">
        <v>1</v>
      </c>
      <c r="AR13" s="113" t="s">
        <v>36</v>
      </c>
      <c r="AS13" s="113" t="s">
        <v>37</v>
      </c>
      <c r="AT13" s="113" t="s">
        <v>38</v>
      </c>
      <c r="AU13" s="113" t="s">
        <v>41</v>
      </c>
      <c r="AV13" s="113" t="s">
        <v>39</v>
      </c>
      <c r="AW13" s="113" t="s">
        <v>42</v>
      </c>
      <c r="AX13" s="113" t="s">
        <v>40</v>
      </c>
      <c r="AY13" s="113" t="s">
        <v>43</v>
      </c>
      <c r="AZ13" s="113" t="s">
        <v>3</v>
      </c>
      <c r="BA13" s="113" t="s">
        <v>4</v>
      </c>
      <c r="BB13" s="113" t="s">
        <v>2</v>
      </c>
      <c r="BC13" s="113" t="s">
        <v>60</v>
      </c>
      <c r="BD13" s="113" t="s">
        <v>59</v>
      </c>
      <c r="BE13" s="113" t="s">
        <v>58</v>
      </c>
    </row>
    <row r="14" spans="1:57" ht="19.5" customHeight="1">
      <c r="A14" s="4"/>
      <c r="B14" s="219"/>
      <c r="C14" s="142" t="s">
        <v>113</v>
      </c>
      <c r="D14" s="142" t="s">
        <v>113</v>
      </c>
      <c r="E14" s="142" t="s">
        <v>113</v>
      </c>
      <c r="F14" s="142" t="s">
        <v>113</v>
      </c>
      <c r="G14" s="142" t="s">
        <v>113</v>
      </c>
      <c r="H14" s="142" t="s">
        <v>113</v>
      </c>
      <c r="I14" s="142" t="s">
        <v>113</v>
      </c>
      <c r="J14" s="142" t="s">
        <v>113</v>
      </c>
      <c r="K14" s="142" t="s">
        <v>113</v>
      </c>
      <c r="L14" s="142" t="s">
        <v>182</v>
      </c>
      <c r="M14" s="142" t="s">
        <v>182</v>
      </c>
      <c r="N14" s="143" t="s">
        <v>179</v>
      </c>
      <c r="O14" s="143" t="s">
        <v>177</v>
      </c>
      <c r="P14" s="143" t="s">
        <v>178</v>
      </c>
      <c r="Q14" s="143" t="s">
        <v>178</v>
      </c>
      <c r="R14" s="144" t="s">
        <v>56</v>
      </c>
      <c r="S14" s="144" t="s">
        <v>56</v>
      </c>
      <c r="T14" s="142" t="s">
        <v>182</v>
      </c>
      <c r="U14" s="26"/>
      <c r="Y14" s="114" t="s">
        <v>54</v>
      </c>
      <c r="Z14" s="1"/>
      <c r="AA14" s="115" t="s">
        <v>182</v>
      </c>
      <c r="AB14" s="115" t="s">
        <v>55</v>
      </c>
      <c r="AC14" s="115" t="s">
        <v>55</v>
      </c>
      <c r="AD14" s="115" t="s">
        <v>55</v>
      </c>
      <c r="AE14" s="115" t="s">
        <v>55</v>
      </c>
      <c r="AF14" s="115" t="s">
        <v>54</v>
      </c>
      <c r="AG14" s="115" t="s">
        <v>54</v>
      </c>
      <c r="AH14" s="115" t="s">
        <v>54</v>
      </c>
      <c r="AI14" s="115" t="s">
        <v>54</v>
      </c>
      <c r="AJ14" s="115" t="s">
        <v>54</v>
      </c>
      <c r="AK14" s="115" t="s">
        <v>54</v>
      </c>
      <c r="AL14" s="115" t="s">
        <v>54</v>
      </c>
      <c r="AM14" s="115" t="s">
        <v>54</v>
      </c>
      <c r="AN14" s="115" t="s">
        <v>54</v>
      </c>
      <c r="AO14" s="115" t="s">
        <v>54</v>
      </c>
      <c r="AP14" s="115" t="s">
        <v>54</v>
      </c>
      <c r="AQ14" s="115" t="s">
        <v>54</v>
      </c>
      <c r="AR14" s="115" t="s">
        <v>54</v>
      </c>
      <c r="AS14" s="115" t="s">
        <v>54</v>
      </c>
      <c r="AT14" s="115" t="s">
        <v>54</v>
      </c>
      <c r="AU14" s="115" t="s">
        <v>54</v>
      </c>
      <c r="AV14" s="115" t="s">
        <v>54</v>
      </c>
      <c r="AW14" s="115" t="s">
        <v>54</v>
      </c>
      <c r="AX14" s="115" t="s">
        <v>54</v>
      </c>
      <c r="AY14" s="115" t="s">
        <v>54</v>
      </c>
      <c r="AZ14" s="115" t="s">
        <v>54</v>
      </c>
      <c r="BA14" s="115" t="s">
        <v>54</v>
      </c>
      <c r="BB14" s="116" t="s">
        <v>54</v>
      </c>
      <c r="BC14" s="116" t="s">
        <v>54</v>
      </c>
      <c r="BD14" s="116" t="s">
        <v>54</v>
      </c>
      <c r="BE14" s="116" t="s">
        <v>54</v>
      </c>
    </row>
    <row r="15" spans="2:57" ht="19.5" customHeight="1">
      <c r="B15" s="124">
        <v>1</v>
      </c>
      <c r="C15" s="125">
        <v>29</v>
      </c>
      <c r="D15" s="125">
        <v>49</v>
      </c>
      <c r="E15" s="126">
        <v>0.6</v>
      </c>
      <c r="F15" s="126">
        <v>0.6</v>
      </c>
      <c r="G15" s="127">
        <v>4</v>
      </c>
      <c r="H15" s="127">
        <f aca="true" t="shared" si="0" ref="H15:H26">C15-2*Y15</f>
        <v>23</v>
      </c>
      <c r="I15" s="128">
        <f aca="true" t="shared" si="1" ref="I15:I26">D15+2*E15</f>
        <v>50.2</v>
      </c>
      <c r="J15" s="128">
        <f aca="true" t="shared" si="2" ref="J15:J26">H15-F15</f>
        <v>22.4</v>
      </c>
      <c r="K15" s="128">
        <f aca="true" t="shared" si="3" ref="K15:K26">D15+E15</f>
        <v>49.6</v>
      </c>
      <c r="L15" s="132">
        <f>J15*K15</f>
        <v>1111.04</v>
      </c>
      <c r="M15" s="130">
        <f aca="true" t="shared" si="4" ref="M15:M26">D15*F15</f>
        <v>29.4</v>
      </c>
      <c r="N15" s="131">
        <f aca="true" t="shared" si="5" ref="N15:N26">((C15*E15^3/12+F15*D15^3/12+C15*E15^3/12+F15*D15^3/12+G15*G15^3/12)+(AS15^2*AA15+AU15^2*AB15+AW15^2*AC15+AY15^2*AD15+BA15^2*AE15))</f>
        <v>43225.819114355225</v>
      </c>
      <c r="O15" s="132">
        <f aca="true" t="shared" si="6" ref="O15:O26">((C15^3*E15/12+F15^3*D15/12+C15^3*E15/12+F15^3*D15/12+G15^3*G15/12)+(AR15^2*AA15+AT15^2*AB15+AV15^2*AC15+AX15^2*AD15+AZ15^2*AE15))</f>
        <v>11551.910793187348</v>
      </c>
      <c r="P15" s="132">
        <f aca="true" t="shared" si="7" ref="P15:P26">N15/IF(BB15&gt;BC15,BB15,BC15)</f>
        <v>1487.6622751442371</v>
      </c>
      <c r="Q15" s="132">
        <f aca="true" t="shared" si="8" ref="Q15:Q26">O15/IF(BD15&gt;BE15,BD15,BE15)</f>
        <v>715.9519469200031</v>
      </c>
      <c r="R15" s="157">
        <f>T15*7.85*1.03/10</f>
        <v>88.61707999999999</v>
      </c>
      <c r="S15" s="129">
        <v>40</v>
      </c>
      <c r="T15" s="129">
        <f aca="true" t="shared" si="9" ref="T15:T26">AA15+AB15+AC15+AD15+AE15</f>
        <v>109.6</v>
      </c>
      <c r="U15" s="122"/>
      <c r="Y15" s="120">
        <v>3</v>
      </c>
      <c r="Z15" s="23"/>
      <c r="AA15" s="118">
        <f aca="true" t="shared" si="10" ref="AA15:AA26">C15*E15</f>
        <v>17.4</v>
      </c>
      <c r="AB15" s="117">
        <f aca="true" t="shared" si="11" ref="AB15:AB26">F15*D15</f>
        <v>29.4</v>
      </c>
      <c r="AC15" s="117">
        <f aca="true" t="shared" si="12" ref="AC15:AC26">C15*E15</f>
        <v>17.4</v>
      </c>
      <c r="AD15" s="117">
        <f aca="true" t="shared" si="13" ref="AD15:AD26">F15*D15</f>
        <v>29.4</v>
      </c>
      <c r="AE15" s="117">
        <f>G15^2</f>
        <v>16</v>
      </c>
      <c r="AF15" s="117">
        <f aca="true" t="shared" si="14" ref="AF15:AF26">0.5*C15</f>
        <v>14.5</v>
      </c>
      <c r="AG15" s="117">
        <f aca="true" t="shared" si="15" ref="AG15:AG26">0.5*E15</f>
        <v>0.3</v>
      </c>
      <c r="AH15" s="117">
        <f aca="true" t="shared" si="16" ref="AH15:AH26">Y15+0.5*F15</f>
        <v>3.3</v>
      </c>
      <c r="AI15" s="117">
        <f aca="true" t="shared" si="17" ref="AI15:AI26">E15+0.5*D15</f>
        <v>25.1</v>
      </c>
      <c r="AJ15" s="117">
        <f aca="true" t="shared" si="18" ref="AJ15:AJ26">0.5*C15</f>
        <v>14.5</v>
      </c>
      <c r="AK15" s="117">
        <f aca="true" t="shared" si="19" ref="AK15:AK26">E15+0.5*E15+D15</f>
        <v>49.9</v>
      </c>
      <c r="AL15" s="117">
        <f aca="true" t="shared" si="20" ref="AL15:AL26">C15-Y15-0.5*F15</f>
        <v>25.7</v>
      </c>
      <c r="AM15" s="117">
        <f aca="true" t="shared" si="21" ref="AM15:AM26">E15+0.5*D15</f>
        <v>25.1</v>
      </c>
      <c r="AN15" s="117">
        <f aca="true" t="shared" si="22" ref="AN15:AN26">C15-Y15-0.5*F15</f>
        <v>25.7</v>
      </c>
      <c r="AO15" s="117">
        <f aca="true" t="shared" si="23" ref="AO15:AO26">E15+D15+E15+0.5*G15</f>
        <v>52.2</v>
      </c>
      <c r="AP15" s="117">
        <f aca="true" t="shared" si="24" ref="AP15:AP26">(AF15*AA15+AH15*AB15+AJ15*AC15+AL15*AD15+AN15*AE15)/T15</f>
        <v>16.135036496350363</v>
      </c>
      <c r="AQ15" s="117">
        <f aca="true" t="shared" si="25" ref="AQ15:AQ26">(AG15*AA15+AI15*AB15+AK15*AC15+AM15*AD15+AO15*AE15)/T15</f>
        <v>29.05620437956205</v>
      </c>
      <c r="AR15" s="117">
        <f aca="true" t="shared" si="26" ref="AR15:AS26">AP15-AF15</f>
        <v>1.635036496350363</v>
      </c>
      <c r="AS15" s="117">
        <f t="shared" si="26"/>
        <v>28.75620437956205</v>
      </c>
      <c r="AT15" s="117">
        <f aca="true" t="shared" si="27" ref="AT15:AU26">AP15-AH15</f>
        <v>12.835036496350362</v>
      </c>
      <c r="AU15" s="117">
        <f t="shared" si="27"/>
        <v>3.956204379562049</v>
      </c>
      <c r="AV15" s="117">
        <f aca="true" t="shared" si="28" ref="AV15:AV23">AP15-AJ15</f>
        <v>1.635036496350363</v>
      </c>
      <c r="AW15" s="117">
        <f aca="true" t="shared" si="29" ref="AW15:AW23">AK15-AQ15</f>
        <v>20.843795620437948</v>
      </c>
      <c r="AX15" s="117">
        <f aca="true" t="shared" si="30" ref="AX15:AX23">AL15-AP15</f>
        <v>9.564963503649636</v>
      </c>
      <c r="AY15" s="117">
        <f aca="true" t="shared" si="31" ref="AY15:AY23">AQ15-AM15</f>
        <v>3.956204379562049</v>
      </c>
      <c r="AZ15" s="117">
        <f aca="true" t="shared" si="32" ref="AZ15:BA26">AN15-AP15</f>
        <v>9.564963503649636</v>
      </c>
      <c r="BA15" s="117">
        <f t="shared" si="32"/>
        <v>23.143795620437952</v>
      </c>
      <c r="BB15" s="118">
        <f aca="true" t="shared" si="33" ref="BB15:BB23">AQ15</f>
        <v>29.05620437956205</v>
      </c>
      <c r="BC15" s="119">
        <f aca="true" t="shared" si="34" ref="BC15:BC26">AO15+0.5*G15-AQ15</f>
        <v>25.143795620437952</v>
      </c>
      <c r="BD15" s="118">
        <f aca="true" t="shared" si="35" ref="BD15:BD26">C15-AP15</f>
        <v>12.864963503649637</v>
      </c>
      <c r="BE15" s="119">
        <f aca="true" t="shared" si="36" ref="BE15:BE23">AP15</f>
        <v>16.135036496350363</v>
      </c>
    </row>
    <row r="16" spans="2:68" s="23" customFormat="1" ht="19.5" customHeight="1">
      <c r="B16" s="133">
        <f>B15+1</f>
        <v>2</v>
      </c>
      <c r="C16" s="134">
        <v>29</v>
      </c>
      <c r="D16" s="134">
        <v>49</v>
      </c>
      <c r="E16" s="135">
        <v>0.8</v>
      </c>
      <c r="F16" s="135">
        <v>0.6</v>
      </c>
      <c r="G16" s="136">
        <v>4</v>
      </c>
      <c r="H16" s="136">
        <f t="shared" si="0"/>
        <v>23</v>
      </c>
      <c r="I16" s="137">
        <f t="shared" si="1"/>
        <v>50.6</v>
      </c>
      <c r="J16" s="137">
        <f t="shared" si="2"/>
        <v>22.4</v>
      </c>
      <c r="K16" s="137">
        <f t="shared" si="3"/>
        <v>49.8</v>
      </c>
      <c r="L16" s="141">
        <f aca="true" t="shared" si="37" ref="L16:L26">J16*K16</f>
        <v>1115.5199999999998</v>
      </c>
      <c r="M16" s="139">
        <f t="shared" si="4"/>
        <v>29.4</v>
      </c>
      <c r="N16" s="140">
        <f t="shared" si="5"/>
        <v>50907.602099009906</v>
      </c>
      <c r="O16" s="141">
        <f t="shared" si="6"/>
        <v>12392.920224422442</v>
      </c>
      <c r="P16" s="141">
        <f t="shared" si="7"/>
        <v>1761.2673627239412</v>
      </c>
      <c r="Q16" s="141">
        <f t="shared" si="8"/>
        <v>775.5974032841062</v>
      </c>
      <c r="R16" s="158">
        <f aca="true" t="shared" si="38" ref="R16:R26">T16*7.85*1.03/10</f>
        <v>97.99626</v>
      </c>
      <c r="S16" s="138">
        <f>S15</f>
        <v>40</v>
      </c>
      <c r="T16" s="138">
        <f t="shared" si="9"/>
        <v>121.20000000000002</v>
      </c>
      <c r="U16" s="122"/>
      <c r="V16" s="19"/>
      <c r="W16" s="19"/>
      <c r="X16" s="19"/>
      <c r="Y16" s="120">
        <v>3</v>
      </c>
      <c r="Z16" s="155">
        <f aca="true" t="shared" si="39" ref="Z16:Z26">N15*1.25^2</f>
        <v>67540.34236618003</v>
      </c>
      <c r="AA16" s="118">
        <f t="shared" si="10"/>
        <v>23.200000000000003</v>
      </c>
      <c r="AB16" s="117">
        <f t="shared" si="11"/>
        <v>29.4</v>
      </c>
      <c r="AC16" s="117">
        <f t="shared" si="12"/>
        <v>23.200000000000003</v>
      </c>
      <c r="AD16" s="117">
        <f t="shared" si="13"/>
        <v>29.4</v>
      </c>
      <c r="AE16" s="117">
        <f aca="true" t="shared" si="40" ref="AE16:AE26">G16^2</f>
        <v>16</v>
      </c>
      <c r="AF16" s="117">
        <f t="shared" si="14"/>
        <v>14.5</v>
      </c>
      <c r="AG16" s="117">
        <f t="shared" si="15"/>
        <v>0.4</v>
      </c>
      <c r="AH16" s="117">
        <f t="shared" si="16"/>
        <v>3.3</v>
      </c>
      <c r="AI16" s="117">
        <f t="shared" si="17"/>
        <v>25.3</v>
      </c>
      <c r="AJ16" s="117">
        <f t="shared" si="18"/>
        <v>14.5</v>
      </c>
      <c r="AK16" s="117">
        <f t="shared" si="19"/>
        <v>50.2</v>
      </c>
      <c r="AL16" s="117">
        <f t="shared" si="20"/>
        <v>25.7</v>
      </c>
      <c r="AM16" s="117">
        <f t="shared" si="21"/>
        <v>25.3</v>
      </c>
      <c r="AN16" s="117">
        <f t="shared" si="22"/>
        <v>25.7</v>
      </c>
      <c r="AO16" s="117">
        <f t="shared" si="23"/>
        <v>52.599999999999994</v>
      </c>
      <c r="AP16" s="117">
        <f t="shared" si="24"/>
        <v>15.978547854785477</v>
      </c>
      <c r="AQ16" s="117">
        <f t="shared" si="25"/>
        <v>28.903960396039597</v>
      </c>
      <c r="AR16" s="117">
        <f t="shared" si="26"/>
        <v>1.478547854785477</v>
      </c>
      <c r="AS16" s="117">
        <f t="shared" si="26"/>
        <v>28.5039603960396</v>
      </c>
      <c r="AT16" s="117">
        <f t="shared" si="27"/>
        <v>12.678547854785478</v>
      </c>
      <c r="AU16" s="117">
        <f t="shared" si="27"/>
        <v>3.6039603960395965</v>
      </c>
      <c r="AV16" s="117">
        <f t="shared" si="28"/>
        <v>1.478547854785477</v>
      </c>
      <c r="AW16" s="117">
        <f t="shared" si="29"/>
        <v>21.296039603960406</v>
      </c>
      <c r="AX16" s="117">
        <f t="shared" si="30"/>
        <v>9.721452145214522</v>
      </c>
      <c r="AY16" s="117">
        <f t="shared" si="31"/>
        <v>3.6039603960395965</v>
      </c>
      <c r="AZ16" s="117">
        <f t="shared" si="32"/>
        <v>9.721452145214522</v>
      </c>
      <c r="BA16" s="117">
        <f t="shared" si="32"/>
        <v>23.696039603960397</v>
      </c>
      <c r="BB16" s="118">
        <f t="shared" si="33"/>
        <v>28.903960396039597</v>
      </c>
      <c r="BC16" s="119">
        <f t="shared" si="34"/>
        <v>25.696039603960397</v>
      </c>
      <c r="BD16" s="118">
        <f t="shared" si="35"/>
        <v>13.021452145214523</v>
      </c>
      <c r="BE16" s="119">
        <f t="shared" si="36"/>
        <v>15.978547854785477</v>
      </c>
      <c r="BG16" s="1"/>
      <c r="BH16" s="1"/>
      <c r="BP16" s="1"/>
    </row>
    <row r="17" spans="2:68" s="23" customFormat="1" ht="19.5" customHeight="1">
      <c r="B17" s="124">
        <f aca="true" t="shared" si="41" ref="B17:B26">B16+1</f>
        <v>3</v>
      </c>
      <c r="C17" s="125">
        <v>29</v>
      </c>
      <c r="D17" s="125">
        <v>69</v>
      </c>
      <c r="E17" s="126">
        <v>0.6</v>
      </c>
      <c r="F17" s="126">
        <v>0.6</v>
      </c>
      <c r="G17" s="127">
        <v>4</v>
      </c>
      <c r="H17" s="127">
        <f t="shared" si="0"/>
        <v>23</v>
      </c>
      <c r="I17" s="128">
        <f t="shared" si="1"/>
        <v>70.2</v>
      </c>
      <c r="J17" s="128">
        <f t="shared" si="2"/>
        <v>22.4</v>
      </c>
      <c r="K17" s="128">
        <f t="shared" si="3"/>
        <v>69.6</v>
      </c>
      <c r="L17" s="132">
        <f t="shared" si="37"/>
        <v>1559.0399999999997</v>
      </c>
      <c r="M17" s="130">
        <f t="shared" si="4"/>
        <v>41.4</v>
      </c>
      <c r="N17" s="131">
        <f t="shared" si="5"/>
        <v>94402.59699800398</v>
      </c>
      <c r="O17" s="132">
        <f t="shared" si="6"/>
        <v>14615.825261477046</v>
      </c>
      <c r="P17" s="132">
        <f t="shared" si="7"/>
        <v>2387.3334189419056</v>
      </c>
      <c r="Q17" s="132">
        <f t="shared" si="8"/>
        <v>922.6395080955082</v>
      </c>
      <c r="R17" s="157">
        <f t="shared" si="38"/>
        <v>108.02228</v>
      </c>
      <c r="S17" s="129">
        <f aca="true" t="shared" si="42" ref="S17:S26">S16</f>
        <v>40</v>
      </c>
      <c r="T17" s="129">
        <f t="shared" si="9"/>
        <v>133.6</v>
      </c>
      <c r="U17" s="122"/>
      <c r="V17" s="19"/>
      <c r="W17" s="19"/>
      <c r="X17" s="19"/>
      <c r="Y17" s="120">
        <v>3</v>
      </c>
      <c r="Z17" s="155">
        <f t="shared" si="39"/>
        <v>79543.12827970297</v>
      </c>
      <c r="AA17" s="118">
        <f t="shared" si="10"/>
        <v>17.4</v>
      </c>
      <c r="AB17" s="117">
        <f t="shared" si="11"/>
        <v>41.4</v>
      </c>
      <c r="AC17" s="117">
        <f t="shared" si="12"/>
        <v>17.4</v>
      </c>
      <c r="AD17" s="117">
        <f t="shared" si="13"/>
        <v>41.4</v>
      </c>
      <c r="AE17" s="117">
        <f t="shared" si="40"/>
        <v>16</v>
      </c>
      <c r="AF17" s="117">
        <f t="shared" si="14"/>
        <v>14.5</v>
      </c>
      <c r="AG17" s="117">
        <f t="shared" si="15"/>
        <v>0.3</v>
      </c>
      <c r="AH17" s="117">
        <f t="shared" si="16"/>
        <v>3.3</v>
      </c>
      <c r="AI17" s="117">
        <f t="shared" si="17"/>
        <v>35.1</v>
      </c>
      <c r="AJ17" s="117">
        <f t="shared" si="18"/>
        <v>14.5</v>
      </c>
      <c r="AK17" s="117">
        <f t="shared" si="19"/>
        <v>69.9</v>
      </c>
      <c r="AL17" s="117">
        <f t="shared" si="20"/>
        <v>25.7</v>
      </c>
      <c r="AM17" s="117">
        <f t="shared" si="21"/>
        <v>35.1</v>
      </c>
      <c r="AN17" s="117">
        <f t="shared" si="22"/>
        <v>25.7</v>
      </c>
      <c r="AO17" s="117">
        <f t="shared" si="23"/>
        <v>72.19999999999999</v>
      </c>
      <c r="AP17" s="117">
        <f t="shared" si="24"/>
        <v>15.84131736526946</v>
      </c>
      <c r="AQ17" s="117">
        <f t="shared" si="25"/>
        <v>39.543113772455094</v>
      </c>
      <c r="AR17" s="117">
        <f t="shared" si="26"/>
        <v>1.3413173652694592</v>
      </c>
      <c r="AS17" s="117">
        <f t="shared" si="26"/>
        <v>39.2431137724551</v>
      </c>
      <c r="AT17" s="117">
        <f t="shared" si="27"/>
        <v>12.54131736526946</v>
      </c>
      <c r="AU17" s="117">
        <f t="shared" si="27"/>
        <v>4.443113772455092</v>
      </c>
      <c r="AV17" s="117">
        <f t="shared" si="28"/>
        <v>1.3413173652694592</v>
      </c>
      <c r="AW17" s="117">
        <f t="shared" si="29"/>
        <v>30.356886227544912</v>
      </c>
      <c r="AX17" s="117">
        <f t="shared" si="30"/>
        <v>9.85868263473054</v>
      </c>
      <c r="AY17" s="117">
        <f t="shared" si="31"/>
        <v>4.443113772455092</v>
      </c>
      <c r="AZ17" s="117">
        <f t="shared" si="32"/>
        <v>9.85868263473054</v>
      </c>
      <c r="BA17" s="117">
        <f t="shared" si="32"/>
        <v>32.656886227544895</v>
      </c>
      <c r="BB17" s="118">
        <f t="shared" si="33"/>
        <v>39.543113772455094</v>
      </c>
      <c r="BC17" s="119">
        <f t="shared" si="34"/>
        <v>34.656886227544895</v>
      </c>
      <c r="BD17" s="118">
        <f t="shared" si="35"/>
        <v>13.15868263473054</v>
      </c>
      <c r="BE17" s="119">
        <f t="shared" si="36"/>
        <v>15.84131736526946</v>
      </c>
      <c r="BG17" s="1"/>
      <c r="BH17" s="1"/>
      <c r="BP17" s="1"/>
    </row>
    <row r="18" spans="2:68" s="23" customFormat="1" ht="19.5" customHeight="1">
      <c r="B18" s="133">
        <f t="shared" si="41"/>
        <v>4</v>
      </c>
      <c r="C18" s="134">
        <v>29</v>
      </c>
      <c r="D18" s="134">
        <v>69</v>
      </c>
      <c r="E18" s="135">
        <v>0.8</v>
      </c>
      <c r="F18" s="135">
        <v>0.6</v>
      </c>
      <c r="G18" s="136">
        <v>4</v>
      </c>
      <c r="H18" s="136">
        <f t="shared" si="0"/>
        <v>23</v>
      </c>
      <c r="I18" s="137">
        <f t="shared" si="1"/>
        <v>70.6</v>
      </c>
      <c r="J18" s="137">
        <f t="shared" si="2"/>
        <v>22.4</v>
      </c>
      <c r="K18" s="137">
        <f t="shared" si="3"/>
        <v>69.8</v>
      </c>
      <c r="L18" s="141">
        <f t="shared" si="37"/>
        <v>1563.5199999999998</v>
      </c>
      <c r="M18" s="139">
        <f t="shared" si="4"/>
        <v>41.4</v>
      </c>
      <c r="N18" s="140">
        <f t="shared" si="5"/>
        <v>109198.04891460057</v>
      </c>
      <c r="O18" s="141">
        <f t="shared" si="6"/>
        <v>15447.994567493115</v>
      </c>
      <c r="P18" s="141">
        <f t="shared" si="7"/>
        <v>2770.807272244319</v>
      </c>
      <c r="Q18" s="141">
        <f t="shared" si="8"/>
        <v>981.8124884881381</v>
      </c>
      <c r="R18" s="158">
        <f t="shared" si="38"/>
        <v>117.40146</v>
      </c>
      <c r="S18" s="138">
        <f t="shared" si="42"/>
        <v>40</v>
      </c>
      <c r="T18" s="138">
        <f t="shared" si="9"/>
        <v>145.2</v>
      </c>
      <c r="U18" s="122"/>
      <c r="V18" s="19"/>
      <c r="W18" s="19"/>
      <c r="X18" s="19"/>
      <c r="Y18" s="120">
        <v>3</v>
      </c>
      <c r="Z18" s="155">
        <f t="shared" si="39"/>
        <v>147504.05780938122</v>
      </c>
      <c r="AA18" s="118">
        <f t="shared" si="10"/>
        <v>23.200000000000003</v>
      </c>
      <c r="AB18" s="117">
        <f t="shared" si="11"/>
        <v>41.4</v>
      </c>
      <c r="AC18" s="117">
        <f t="shared" si="12"/>
        <v>23.200000000000003</v>
      </c>
      <c r="AD18" s="117">
        <f t="shared" si="13"/>
        <v>41.4</v>
      </c>
      <c r="AE18" s="117">
        <f t="shared" si="40"/>
        <v>16</v>
      </c>
      <c r="AF18" s="117">
        <f t="shared" si="14"/>
        <v>14.5</v>
      </c>
      <c r="AG18" s="117">
        <f t="shared" si="15"/>
        <v>0.4</v>
      </c>
      <c r="AH18" s="117">
        <f t="shared" si="16"/>
        <v>3.3</v>
      </c>
      <c r="AI18" s="117">
        <f t="shared" si="17"/>
        <v>35.3</v>
      </c>
      <c r="AJ18" s="117">
        <f t="shared" si="18"/>
        <v>14.5</v>
      </c>
      <c r="AK18" s="117">
        <f t="shared" si="19"/>
        <v>70.2</v>
      </c>
      <c r="AL18" s="117">
        <f t="shared" si="20"/>
        <v>25.7</v>
      </c>
      <c r="AM18" s="117">
        <f t="shared" si="21"/>
        <v>35.3</v>
      </c>
      <c r="AN18" s="117">
        <f t="shared" si="22"/>
        <v>25.7</v>
      </c>
      <c r="AO18" s="117">
        <f t="shared" si="23"/>
        <v>72.6</v>
      </c>
      <c r="AP18" s="117">
        <f t="shared" si="24"/>
        <v>15.734159779614325</v>
      </c>
      <c r="AQ18" s="117">
        <f t="shared" si="25"/>
        <v>39.41019283746557</v>
      </c>
      <c r="AR18" s="117">
        <f t="shared" si="26"/>
        <v>1.234159779614325</v>
      </c>
      <c r="AS18" s="117">
        <f t="shared" si="26"/>
        <v>39.010192837465574</v>
      </c>
      <c r="AT18" s="117">
        <f t="shared" si="27"/>
        <v>12.434159779614326</v>
      </c>
      <c r="AU18" s="117">
        <f t="shared" si="27"/>
        <v>4.110192837465576</v>
      </c>
      <c r="AV18" s="117">
        <f t="shared" si="28"/>
        <v>1.234159779614325</v>
      </c>
      <c r="AW18" s="117">
        <f t="shared" si="29"/>
        <v>30.78980716253443</v>
      </c>
      <c r="AX18" s="117">
        <f t="shared" si="30"/>
        <v>9.965840220385674</v>
      </c>
      <c r="AY18" s="117">
        <f t="shared" si="31"/>
        <v>4.110192837465576</v>
      </c>
      <c r="AZ18" s="117">
        <f t="shared" si="32"/>
        <v>9.965840220385674</v>
      </c>
      <c r="BA18" s="117">
        <f t="shared" si="32"/>
        <v>33.18980716253442</v>
      </c>
      <c r="BB18" s="118">
        <f t="shared" si="33"/>
        <v>39.41019283746557</v>
      </c>
      <c r="BC18" s="119">
        <f t="shared" si="34"/>
        <v>35.18980716253442</v>
      </c>
      <c r="BD18" s="118">
        <f t="shared" si="35"/>
        <v>13.265840220385675</v>
      </c>
      <c r="BE18" s="119">
        <f t="shared" si="36"/>
        <v>15.734159779614325</v>
      </c>
      <c r="BG18" s="1"/>
      <c r="BH18" s="1"/>
      <c r="BP18" s="1"/>
    </row>
    <row r="19" spans="2:68" s="23" customFormat="1" ht="19.5" customHeight="1">
      <c r="B19" s="124">
        <f t="shared" si="41"/>
        <v>5</v>
      </c>
      <c r="C19" s="125">
        <v>29</v>
      </c>
      <c r="D19" s="125">
        <v>69</v>
      </c>
      <c r="E19" s="126">
        <v>1</v>
      </c>
      <c r="F19" s="126">
        <v>0.6</v>
      </c>
      <c r="G19" s="127">
        <v>4</v>
      </c>
      <c r="H19" s="127">
        <f t="shared" si="0"/>
        <v>23</v>
      </c>
      <c r="I19" s="128">
        <f t="shared" si="1"/>
        <v>71</v>
      </c>
      <c r="J19" s="128">
        <f t="shared" si="2"/>
        <v>22.4</v>
      </c>
      <c r="K19" s="128">
        <f t="shared" si="3"/>
        <v>70</v>
      </c>
      <c r="L19" s="132">
        <f t="shared" si="37"/>
        <v>1568</v>
      </c>
      <c r="M19" s="130">
        <f t="shared" si="4"/>
        <v>41.4</v>
      </c>
      <c r="N19" s="131">
        <f t="shared" si="5"/>
        <v>124131.14829931973</v>
      </c>
      <c r="O19" s="132">
        <f t="shared" si="6"/>
        <v>16277.322666666667</v>
      </c>
      <c r="P19" s="132">
        <f t="shared" si="7"/>
        <v>3156.4225566510986</v>
      </c>
      <c r="Q19" s="132">
        <f t="shared" si="8"/>
        <v>1040.5594398782346</v>
      </c>
      <c r="R19" s="157">
        <f t="shared" si="38"/>
        <v>126.78064000000002</v>
      </c>
      <c r="S19" s="129">
        <f t="shared" si="42"/>
        <v>40</v>
      </c>
      <c r="T19" s="129">
        <f t="shared" si="9"/>
        <v>156.8</v>
      </c>
      <c r="U19" s="122"/>
      <c r="V19" s="19"/>
      <c r="W19" s="19"/>
      <c r="X19" s="19"/>
      <c r="Y19" s="120">
        <v>3</v>
      </c>
      <c r="Z19" s="155">
        <f t="shared" si="39"/>
        <v>170621.9514290634</v>
      </c>
      <c r="AA19" s="118">
        <f t="shared" si="10"/>
        <v>29</v>
      </c>
      <c r="AB19" s="117">
        <f t="shared" si="11"/>
        <v>41.4</v>
      </c>
      <c r="AC19" s="117">
        <f t="shared" si="12"/>
        <v>29</v>
      </c>
      <c r="AD19" s="117">
        <f t="shared" si="13"/>
        <v>41.4</v>
      </c>
      <c r="AE19" s="117">
        <f t="shared" si="40"/>
        <v>16</v>
      </c>
      <c r="AF19" s="117">
        <f t="shared" si="14"/>
        <v>14.5</v>
      </c>
      <c r="AG19" s="117">
        <f t="shared" si="15"/>
        <v>0.5</v>
      </c>
      <c r="AH19" s="117">
        <f t="shared" si="16"/>
        <v>3.3</v>
      </c>
      <c r="AI19" s="117">
        <f t="shared" si="17"/>
        <v>35.5</v>
      </c>
      <c r="AJ19" s="117">
        <f t="shared" si="18"/>
        <v>14.5</v>
      </c>
      <c r="AK19" s="117">
        <f t="shared" si="19"/>
        <v>70.5</v>
      </c>
      <c r="AL19" s="117">
        <f t="shared" si="20"/>
        <v>25.7</v>
      </c>
      <c r="AM19" s="117">
        <f t="shared" si="21"/>
        <v>35.5</v>
      </c>
      <c r="AN19" s="117">
        <f t="shared" si="22"/>
        <v>25.7</v>
      </c>
      <c r="AO19" s="117">
        <f t="shared" si="23"/>
        <v>73</v>
      </c>
      <c r="AP19" s="117">
        <f t="shared" si="24"/>
        <v>15.64285714285714</v>
      </c>
      <c r="AQ19" s="117">
        <f t="shared" si="25"/>
        <v>39.326530612244895</v>
      </c>
      <c r="AR19" s="117">
        <f t="shared" si="26"/>
        <v>1.1428571428571406</v>
      </c>
      <c r="AS19" s="117">
        <f t="shared" si="26"/>
        <v>38.826530612244895</v>
      </c>
      <c r="AT19" s="117">
        <f t="shared" si="27"/>
        <v>12.342857142857142</v>
      </c>
      <c r="AU19" s="117">
        <f t="shared" si="27"/>
        <v>3.8265306122448948</v>
      </c>
      <c r="AV19" s="117">
        <f t="shared" si="28"/>
        <v>1.1428571428571406</v>
      </c>
      <c r="AW19" s="117">
        <f t="shared" si="29"/>
        <v>31.173469387755105</v>
      </c>
      <c r="AX19" s="117">
        <f t="shared" si="30"/>
        <v>10.057142857142859</v>
      </c>
      <c r="AY19" s="117">
        <f t="shared" si="31"/>
        <v>3.8265306122448948</v>
      </c>
      <c r="AZ19" s="117">
        <f t="shared" si="32"/>
        <v>10.057142857142859</v>
      </c>
      <c r="BA19" s="117">
        <f t="shared" si="32"/>
        <v>33.673469387755105</v>
      </c>
      <c r="BB19" s="118">
        <f t="shared" si="33"/>
        <v>39.326530612244895</v>
      </c>
      <c r="BC19" s="119">
        <f t="shared" si="34"/>
        <v>35.673469387755105</v>
      </c>
      <c r="BD19" s="118">
        <f t="shared" si="35"/>
        <v>13.35714285714286</v>
      </c>
      <c r="BE19" s="119">
        <f t="shared" si="36"/>
        <v>15.64285714285714</v>
      </c>
      <c r="BG19" s="1"/>
      <c r="BH19" s="1"/>
      <c r="BP19" s="1"/>
    </row>
    <row r="20" spans="2:68" s="23" customFormat="1" ht="19.5" customHeight="1">
      <c r="B20" s="133">
        <f t="shared" si="41"/>
        <v>6</v>
      </c>
      <c r="C20" s="134">
        <v>49</v>
      </c>
      <c r="D20" s="134">
        <v>69</v>
      </c>
      <c r="E20" s="135">
        <v>0.8</v>
      </c>
      <c r="F20" s="135">
        <v>0.6</v>
      </c>
      <c r="G20" s="136">
        <v>4</v>
      </c>
      <c r="H20" s="136">
        <f t="shared" si="0"/>
        <v>43</v>
      </c>
      <c r="I20" s="137">
        <f t="shared" si="1"/>
        <v>70.6</v>
      </c>
      <c r="J20" s="137">
        <f t="shared" si="2"/>
        <v>42.4</v>
      </c>
      <c r="K20" s="137">
        <f t="shared" si="3"/>
        <v>69.8</v>
      </c>
      <c r="L20" s="141">
        <f t="shared" si="37"/>
        <v>2959.52</v>
      </c>
      <c r="M20" s="139">
        <f t="shared" si="4"/>
        <v>41.4</v>
      </c>
      <c r="N20" s="140">
        <f t="shared" si="5"/>
        <v>148619.0485989466</v>
      </c>
      <c r="O20" s="141">
        <f t="shared" si="6"/>
        <v>59465.7188291949</v>
      </c>
      <c r="P20" s="141">
        <f t="shared" si="7"/>
        <v>3843.468936148683</v>
      </c>
      <c r="Q20" s="141">
        <f t="shared" si="8"/>
        <v>2251.2766261875263</v>
      </c>
      <c r="R20" s="158">
        <f t="shared" si="38"/>
        <v>143.27506</v>
      </c>
      <c r="S20" s="138">
        <f t="shared" si="42"/>
        <v>40</v>
      </c>
      <c r="T20" s="138">
        <f t="shared" si="9"/>
        <v>177.2</v>
      </c>
      <c r="U20" s="122"/>
      <c r="V20" s="19"/>
      <c r="W20" s="19"/>
      <c r="X20" s="19"/>
      <c r="Y20" s="120">
        <v>3</v>
      </c>
      <c r="Z20" s="155">
        <f t="shared" si="39"/>
        <v>193954.91921768707</v>
      </c>
      <c r="AA20" s="118">
        <f t="shared" si="10"/>
        <v>39.2</v>
      </c>
      <c r="AB20" s="117">
        <f t="shared" si="11"/>
        <v>41.4</v>
      </c>
      <c r="AC20" s="117">
        <f t="shared" si="12"/>
        <v>39.2</v>
      </c>
      <c r="AD20" s="117">
        <f t="shared" si="13"/>
        <v>41.4</v>
      </c>
      <c r="AE20" s="117">
        <f t="shared" si="40"/>
        <v>16</v>
      </c>
      <c r="AF20" s="117">
        <f t="shared" si="14"/>
        <v>24.5</v>
      </c>
      <c r="AG20" s="117">
        <f t="shared" si="15"/>
        <v>0.4</v>
      </c>
      <c r="AH20" s="117">
        <f t="shared" si="16"/>
        <v>3.3</v>
      </c>
      <c r="AI20" s="117">
        <f t="shared" si="17"/>
        <v>35.3</v>
      </c>
      <c r="AJ20" s="117">
        <f t="shared" si="18"/>
        <v>24.5</v>
      </c>
      <c r="AK20" s="117">
        <f t="shared" si="19"/>
        <v>70.2</v>
      </c>
      <c r="AL20" s="117">
        <f t="shared" si="20"/>
        <v>45.7</v>
      </c>
      <c r="AM20" s="117">
        <f t="shared" si="21"/>
        <v>35.3</v>
      </c>
      <c r="AN20" s="117">
        <f t="shared" si="22"/>
        <v>45.7</v>
      </c>
      <c r="AO20" s="117">
        <f t="shared" si="23"/>
        <v>72.6</v>
      </c>
      <c r="AP20" s="117">
        <f t="shared" si="24"/>
        <v>26.41422121896163</v>
      </c>
      <c r="AQ20" s="117">
        <f t="shared" si="25"/>
        <v>38.667945823927774</v>
      </c>
      <c r="AR20" s="117">
        <f t="shared" si="26"/>
        <v>1.9142212189616288</v>
      </c>
      <c r="AS20" s="117">
        <f t="shared" si="26"/>
        <v>38.267945823927775</v>
      </c>
      <c r="AT20" s="117">
        <f t="shared" si="27"/>
        <v>23.114221218961628</v>
      </c>
      <c r="AU20" s="117">
        <f t="shared" si="27"/>
        <v>3.3679458239277764</v>
      </c>
      <c r="AV20" s="117">
        <f t="shared" si="28"/>
        <v>1.9142212189616288</v>
      </c>
      <c r="AW20" s="117">
        <f t="shared" si="29"/>
        <v>31.53205417607223</v>
      </c>
      <c r="AX20" s="117">
        <f t="shared" si="30"/>
        <v>19.285778781038374</v>
      </c>
      <c r="AY20" s="117">
        <f t="shared" si="31"/>
        <v>3.3679458239277764</v>
      </c>
      <c r="AZ20" s="117">
        <f t="shared" si="32"/>
        <v>19.285778781038374</v>
      </c>
      <c r="BA20" s="117">
        <f t="shared" si="32"/>
        <v>33.93205417607222</v>
      </c>
      <c r="BB20" s="118">
        <f t="shared" si="33"/>
        <v>38.667945823927774</v>
      </c>
      <c r="BC20" s="119">
        <f t="shared" si="34"/>
        <v>35.93205417607222</v>
      </c>
      <c r="BD20" s="118">
        <f t="shared" si="35"/>
        <v>22.58577878103837</v>
      </c>
      <c r="BE20" s="119">
        <f t="shared" si="36"/>
        <v>26.41422121896163</v>
      </c>
      <c r="BG20" s="1"/>
      <c r="BH20" s="1"/>
      <c r="BP20" s="1"/>
    </row>
    <row r="21" spans="2:68" s="23" customFormat="1" ht="19.5" customHeight="1">
      <c r="B21" s="124">
        <f t="shared" si="41"/>
        <v>7</v>
      </c>
      <c r="C21" s="125">
        <v>49</v>
      </c>
      <c r="D21" s="125">
        <v>99</v>
      </c>
      <c r="E21" s="126">
        <v>0.6</v>
      </c>
      <c r="F21" s="126">
        <v>0.6</v>
      </c>
      <c r="G21" s="127">
        <v>4</v>
      </c>
      <c r="H21" s="127">
        <f t="shared" si="0"/>
        <v>43</v>
      </c>
      <c r="I21" s="128">
        <f t="shared" si="1"/>
        <v>100.2</v>
      </c>
      <c r="J21" s="128">
        <f t="shared" si="2"/>
        <v>42.4</v>
      </c>
      <c r="K21" s="128">
        <f t="shared" si="3"/>
        <v>99.6</v>
      </c>
      <c r="L21" s="132">
        <f t="shared" si="37"/>
        <v>4223.04</v>
      </c>
      <c r="M21" s="130">
        <f t="shared" si="4"/>
        <v>59.4</v>
      </c>
      <c r="N21" s="131">
        <f t="shared" si="5"/>
        <v>282720.60685399454</v>
      </c>
      <c r="O21" s="132">
        <f t="shared" si="6"/>
        <v>71780.00850688705</v>
      </c>
      <c r="P21" s="132">
        <f t="shared" si="7"/>
        <v>5196.517359501351</v>
      </c>
      <c r="Q21" s="132">
        <f t="shared" si="8"/>
        <v>2734.261303111391</v>
      </c>
      <c r="R21" s="157">
        <f t="shared" si="38"/>
        <v>156.53528</v>
      </c>
      <c r="S21" s="129">
        <f t="shared" si="42"/>
        <v>40</v>
      </c>
      <c r="T21" s="129">
        <f t="shared" si="9"/>
        <v>193.6</v>
      </c>
      <c r="U21" s="122"/>
      <c r="V21" s="19"/>
      <c r="W21" s="19"/>
      <c r="X21" s="19"/>
      <c r="Y21" s="120">
        <v>3</v>
      </c>
      <c r="Z21" s="155">
        <f t="shared" si="39"/>
        <v>232217.26343585405</v>
      </c>
      <c r="AA21" s="118">
        <f t="shared" si="10"/>
        <v>29.4</v>
      </c>
      <c r="AB21" s="117">
        <f t="shared" si="11"/>
        <v>59.4</v>
      </c>
      <c r="AC21" s="117">
        <f t="shared" si="12"/>
        <v>29.4</v>
      </c>
      <c r="AD21" s="117">
        <f t="shared" si="13"/>
        <v>59.4</v>
      </c>
      <c r="AE21" s="117">
        <f t="shared" si="40"/>
        <v>16</v>
      </c>
      <c r="AF21" s="117">
        <f t="shared" si="14"/>
        <v>24.5</v>
      </c>
      <c r="AG21" s="117">
        <f t="shared" si="15"/>
        <v>0.3</v>
      </c>
      <c r="AH21" s="117">
        <f t="shared" si="16"/>
        <v>3.3</v>
      </c>
      <c r="AI21" s="117">
        <f t="shared" si="17"/>
        <v>50.1</v>
      </c>
      <c r="AJ21" s="117">
        <f t="shared" si="18"/>
        <v>24.5</v>
      </c>
      <c r="AK21" s="117">
        <f t="shared" si="19"/>
        <v>99.9</v>
      </c>
      <c r="AL21" s="117">
        <f t="shared" si="20"/>
        <v>45.7</v>
      </c>
      <c r="AM21" s="117">
        <f t="shared" si="21"/>
        <v>50.1</v>
      </c>
      <c r="AN21" s="117">
        <f t="shared" si="22"/>
        <v>45.7</v>
      </c>
      <c r="AO21" s="117">
        <f t="shared" si="23"/>
        <v>102.19999999999999</v>
      </c>
      <c r="AP21" s="117">
        <f t="shared" si="24"/>
        <v>26.25206611570248</v>
      </c>
      <c r="AQ21" s="117">
        <f t="shared" si="25"/>
        <v>54.405785123966936</v>
      </c>
      <c r="AR21" s="117">
        <f t="shared" si="26"/>
        <v>1.7520661157024797</v>
      </c>
      <c r="AS21" s="117">
        <f t="shared" si="26"/>
        <v>54.10578512396694</v>
      </c>
      <c r="AT21" s="117">
        <f t="shared" si="27"/>
        <v>22.95206611570248</v>
      </c>
      <c r="AU21" s="117">
        <f t="shared" si="27"/>
        <v>4.305785123966935</v>
      </c>
      <c r="AV21" s="117">
        <f t="shared" si="28"/>
        <v>1.7520661157024797</v>
      </c>
      <c r="AW21" s="117">
        <f t="shared" si="29"/>
        <v>45.49421487603307</v>
      </c>
      <c r="AX21" s="117">
        <f t="shared" si="30"/>
        <v>19.447933884297523</v>
      </c>
      <c r="AY21" s="117">
        <f t="shared" si="31"/>
        <v>4.305785123966935</v>
      </c>
      <c r="AZ21" s="117">
        <f t="shared" si="32"/>
        <v>19.447933884297523</v>
      </c>
      <c r="BA21" s="117">
        <f t="shared" si="32"/>
        <v>47.79421487603305</v>
      </c>
      <c r="BB21" s="118">
        <f t="shared" si="33"/>
        <v>54.405785123966936</v>
      </c>
      <c r="BC21" s="119">
        <f t="shared" si="34"/>
        <v>49.79421487603305</v>
      </c>
      <c r="BD21" s="118">
        <f t="shared" si="35"/>
        <v>22.74793388429752</v>
      </c>
      <c r="BE21" s="119">
        <f t="shared" si="36"/>
        <v>26.25206611570248</v>
      </c>
      <c r="BG21" s="1"/>
      <c r="BH21" s="1"/>
      <c r="BP21" s="1"/>
    </row>
    <row r="22" spans="2:68" s="23" customFormat="1" ht="19.5" customHeight="1">
      <c r="B22" s="133">
        <f t="shared" si="41"/>
        <v>8</v>
      </c>
      <c r="C22" s="134">
        <v>49</v>
      </c>
      <c r="D22" s="134">
        <v>99</v>
      </c>
      <c r="E22" s="135">
        <v>0.8</v>
      </c>
      <c r="F22" s="135">
        <v>0.6</v>
      </c>
      <c r="G22" s="136">
        <v>4</v>
      </c>
      <c r="H22" s="136">
        <f t="shared" si="0"/>
        <v>43</v>
      </c>
      <c r="I22" s="137">
        <f t="shared" si="1"/>
        <v>100.6</v>
      </c>
      <c r="J22" s="137">
        <f t="shared" si="2"/>
        <v>42.4</v>
      </c>
      <c r="K22" s="137">
        <f t="shared" si="3"/>
        <v>99.8</v>
      </c>
      <c r="L22" s="141">
        <f t="shared" si="37"/>
        <v>4231.5199999999995</v>
      </c>
      <c r="M22" s="139">
        <f t="shared" si="4"/>
        <v>59.4</v>
      </c>
      <c r="N22" s="140">
        <f t="shared" si="5"/>
        <v>332752.43791619764</v>
      </c>
      <c r="O22" s="141">
        <f t="shared" si="6"/>
        <v>75756.27737585992</v>
      </c>
      <c r="P22" s="141">
        <f t="shared" si="7"/>
        <v>6136.518685945677</v>
      </c>
      <c r="Q22" s="141">
        <f t="shared" si="8"/>
        <v>2903.5412103213134</v>
      </c>
      <c r="R22" s="158">
        <f t="shared" si="38"/>
        <v>172.38286000000002</v>
      </c>
      <c r="S22" s="138">
        <f t="shared" si="42"/>
        <v>40</v>
      </c>
      <c r="T22" s="138">
        <f t="shared" si="9"/>
        <v>213.20000000000002</v>
      </c>
      <c r="U22" s="122"/>
      <c r="V22" s="19"/>
      <c r="W22" s="19"/>
      <c r="X22" s="19"/>
      <c r="Y22" s="120">
        <v>3</v>
      </c>
      <c r="Z22" s="155">
        <f t="shared" si="39"/>
        <v>441750.94820936647</v>
      </c>
      <c r="AA22" s="118">
        <f t="shared" si="10"/>
        <v>39.2</v>
      </c>
      <c r="AB22" s="117">
        <f t="shared" si="11"/>
        <v>59.4</v>
      </c>
      <c r="AC22" s="117">
        <f t="shared" si="12"/>
        <v>39.2</v>
      </c>
      <c r="AD22" s="117">
        <f t="shared" si="13"/>
        <v>59.4</v>
      </c>
      <c r="AE22" s="117">
        <f t="shared" si="40"/>
        <v>16</v>
      </c>
      <c r="AF22" s="117">
        <f t="shared" si="14"/>
        <v>24.5</v>
      </c>
      <c r="AG22" s="117">
        <f t="shared" si="15"/>
        <v>0.4</v>
      </c>
      <c r="AH22" s="117">
        <f t="shared" si="16"/>
        <v>3.3</v>
      </c>
      <c r="AI22" s="117">
        <f t="shared" si="17"/>
        <v>50.3</v>
      </c>
      <c r="AJ22" s="117">
        <f t="shared" si="18"/>
        <v>24.5</v>
      </c>
      <c r="AK22" s="117">
        <f t="shared" si="19"/>
        <v>100.2</v>
      </c>
      <c r="AL22" s="117">
        <f t="shared" si="20"/>
        <v>45.7</v>
      </c>
      <c r="AM22" s="117">
        <f t="shared" si="21"/>
        <v>50.3</v>
      </c>
      <c r="AN22" s="117">
        <f t="shared" si="22"/>
        <v>45.7</v>
      </c>
      <c r="AO22" s="117">
        <f t="shared" si="23"/>
        <v>102.6</v>
      </c>
      <c r="AP22" s="117">
        <f t="shared" si="24"/>
        <v>26.09099437148217</v>
      </c>
      <c r="AQ22" s="117">
        <f t="shared" si="25"/>
        <v>54.224953095684796</v>
      </c>
      <c r="AR22" s="117">
        <f t="shared" si="26"/>
        <v>1.5909943714821715</v>
      </c>
      <c r="AS22" s="117">
        <f t="shared" si="26"/>
        <v>53.8249530956848</v>
      </c>
      <c r="AT22" s="117">
        <f t="shared" si="27"/>
        <v>22.79099437148217</v>
      </c>
      <c r="AU22" s="117">
        <f t="shared" si="27"/>
        <v>3.924953095684799</v>
      </c>
      <c r="AV22" s="117">
        <f t="shared" si="28"/>
        <v>1.5909943714821715</v>
      </c>
      <c r="AW22" s="117">
        <f t="shared" si="29"/>
        <v>45.97504690431521</v>
      </c>
      <c r="AX22" s="117">
        <f t="shared" si="30"/>
        <v>19.60900562851783</v>
      </c>
      <c r="AY22" s="117">
        <f t="shared" si="31"/>
        <v>3.924953095684799</v>
      </c>
      <c r="AZ22" s="117">
        <f t="shared" si="32"/>
        <v>19.60900562851783</v>
      </c>
      <c r="BA22" s="117">
        <f t="shared" si="32"/>
        <v>48.3750469043152</v>
      </c>
      <c r="BB22" s="118">
        <f t="shared" si="33"/>
        <v>54.224953095684796</v>
      </c>
      <c r="BC22" s="119">
        <f t="shared" si="34"/>
        <v>50.3750469043152</v>
      </c>
      <c r="BD22" s="118">
        <f t="shared" si="35"/>
        <v>22.90900562851783</v>
      </c>
      <c r="BE22" s="119">
        <f t="shared" si="36"/>
        <v>26.09099437148217</v>
      </c>
      <c r="BG22" s="1"/>
      <c r="BH22" s="1"/>
      <c r="BP22" s="1"/>
    </row>
    <row r="23" spans="2:68" s="23" customFormat="1" ht="19.5" customHeight="1">
      <c r="B23" s="124">
        <f t="shared" si="41"/>
        <v>9</v>
      </c>
      <c r="C23" s="125">
        <v>49</v>
      </c>
      <c r="D23" s="125">
        <v>99</v>
      </c>
      <c r="E23" s="126">
        <v>1</v>
      </c>
      <c r="F23" s="126">
        <v>0.8</v>
      </c>
      <c r="G23" s="127">
        <v>4</v>
      </c>
      <c r="H23" s="127">
        <f t="shared" si="0"/>
        <v>43</v>
      </c>
      <c r="I23" s="128">
        <f t="shared" si="1"/>
        <v>101</v>
      </c>
      <c r="J23" s="128">
        <f t="shared" si="2"/>
        <v>42.2</v>
      </c>
      <c r="K23" s="128">
        <f t="shared" si="3"/>
        <v>100</v>
      </c>
      <c r="L23" s="132">
        <f t="shared" si="37"/>
        <v>4220</v>
      </c>
      <c r="M23" s="130">
        <f t="shared" si="4"/>
        <v>79.2</v>
      </c>
      <c r="N23" s="131">
        <f t="shared" si="5"/>
        <v>415912.39162995596</v>
      </c>
      <c r="O23" s="132">
        <f t="shared" si="6"/>
        <v>96864.16612628486</v>
      </c>
      <c r="P23" s="132">
        <f t="shared" si="7"/>
        <v>7761.919916142557</v>
      </c>
      <c r="Q23" s="132">
        <f t="shared" si="8"/>
        <v>3763.2710803548493</v>
      </c>
      <c r="R23" s="157">
        <f t="shared" si="38"/>
        <v>220.24901999999997</v>
      </c>
      <c r="S23" s="129">
        <f t="shared" si="42"/>
        <v>40</v>
      </c>
      <c r="T23" s="129">
        <f t="shared" si="9"/>
        <v>272.4</v>
      </c>
      <c r="U23" s="122"/>
      <c r="V23" s="19"/>
      <c r="W23" s="19"/>
      <c r="X23" s="19"/>
      <c r="Y23" s="120">
        <v>3</v>
      </c>
      <c r="Z23" s="155">
        <f t="shared" si="39"/>
        <v>519925.6842440588</v>
      </c>
      <c r="AA23" s="118">
        <f t="shared" si="10"/>
        <v>49</v>
      </c>
      <c r="AB23" s="117">
        <f t="shared" si="11"/>
        <v>79.2</v>
      </c>
      <c r="AC23" s="117">
        <f t="shared" si="12"/>
        <v>49</v>
      </c>
      <c r="AD23" s="117">
        <f t="shared" si="13"/>
        <v>79.2</v>
      </c>
      <c r="AE23" s="117">
        <f t="shared" si="40"/>
        <v>16</v>
      </c>
      <c r="AF23" s="117">
        <f t="shared" si="14"/>
        <v>24.5</v>
      </c>
      <c r="AG23" s="117">
        <f t="shared" si="15"/>
        <v>0.5</v>
      </c>
      <c r="AH23" s="117">
        <f t="shared" si="16"/>
        <v>3.4</v>
      </c>
      <c r="AI23" s="117">
        <f t="shared" si="17"/>
        <v>50.5</v>
      </c>
      <c r="AJ23" s="117">
        <f t="shared" si="18"/>
        <v>24.5</v>
      </c>
      <c r="AK23" s="117">
        <f t="shared" si="19"/>
        <v>100.5</v>
      </c>
      <c r="AL23" s="117">
        <f t="shared" si="20"/>
        <v>45.6</v>
      </c>
      <c r="AM23" s="117">
        <f t="shared" si="21"/>
        <v>50.5</v>
      </c>
      <c r="AN23" s="117">
        <f t="shared" si="22"/>
        <v>45.6</v>
      </c>
      <c r="AO23" s="117">
        <f t="shared" si="23"/>
        <v>103</v>
      </c>
      <c r="AP23" s="117">
        <f t="shared" si="24"/>
        <v>25.739353891336275</v>
      </c>
      <c r="AQ23" s="117">
        <f t="shared" si="25"/>
        <v>53.583700440528645</v>
      </c>
      <c r="AR23" s="117">
        <f t="shared" si="26"/>
        <v>1.2393538913362754</v>
      </c>
      <c r="AS23" s="117">
        <f t="shared" si="26"/>
        <v>53.083700440528645</v>
      </c>
      <c r="AT23" s="117">
        <f t="shared" si="27"/>
        <v>22.339353891336277</v>
      </c>
      <c r="AU23" s="117">
        <f t="shared" si="27"/>
        <v>3.083700440528645</v>
      </c>
      <c r="AV23" s="117">
        <f t="shared" si="28"/>
        <v>1.2393538913362754</v>
      </c>
      <c r="AW23" s="117">
        <f t="shared" si="29"/>
        <v>46.916299559471355</v>
      </c>
      <c r="AX23" s="117">
        <f t="shared" si="30"/>
        <v>19.860646108663726</v>
      </c>
      <c r="AY23" s="117">
        <f t="shared" si="31"/>
        <v>3.083700440528645</v>
      </c>
      <c r="AZ23" s="117">
        <f t="shared" si="32"/>
        <v>19.860646108663726</v>
      </c>
      <c r="BA23" s="117">
        <f t="shared" si="32"/>
        <v>49.416299559471355</v>
      </c>
      <c r="BB23" s="118">
        <f t="shared" si="33"/>
        <v>53.583700440528645</v>
      </c>
      <c r="BC23" s="119">
        <f t="shared" si="34"/>
        <v>51.416299559471355</v>
      </c>
      <c r="BD23" s="118">
        <f t="shared" si="35"/>
        <v>23.260646108663725</v>
      </c>
      <c r="BE23" s="119">
        <f t="shared" si="36"/>
        <v>25.739353891336275</v>
      </c>
      <c r="BG23" s="1"/>
      <c r="BH23" s="1"/>
      <c r="BP23" s="1"/>
    </row>
    <row r="24" spans="2:68" s="23" customFormat="1" ht="19.5" customHeight="1">
      <c r="B24" s="133">
        <f t="shared" si="41"/>
        <v>10</v>
      </c>
      <c r="C24" s="134">
        <v>69</v>
      </c>
      <c r="D24" s="134">
        <v>99</v>
      </c>
      <c r="E24" s="135">
        <v>1</v>
      </c>
      <c r="F24" s="135">
        <v>0.8</v>
      </c>
      <c r="G24" s="136">
        <v>4</v>
      </c>
      <c r="H24" s="136">
        <f t="shared" si="0"/>
        <v>63</v>
      </c>
      <c r="I24" s="137">
        <f t="shared" si="1"/>
        <v>101</v>
      </c>
      <c r="J24" s="137">
        <f t="shared" si="2"/>
        <v>62.2</v>
      </c>
      <c r="K24" s="137">
        <f t="shared" si="3"/>
        <v>100</v>
      </c>
      <c r="L24" s="141">
        <f t="shared" si="37"/>
        <v>6220</v>
      </c>
      <c r="M24" s="139">
        <f t="shared" si="4"/>
        <v>79.2</v>
      </c>
      <c r="N24" s="140">
        <f t="shared" si="5"/>
        <v>516247.39056764834</v>
      </c>
      <c r="O24" s="141">
        <f t="shared" si="6"/>
        <v>222670.11327187365</v>
      </c>
      <c r="P24" s="141">
        <f t="shared" si="7"/>
        <v>9705.930646798506</v>
      </c>
      <c r="Q24" s="141">
        <f t="shared" si="8"/>
        <v>6169.372562049534</v>
      </c>
      <c r="R24" s="158">
        <f t="shared" si="38"/>
        <v>252.59102</v>
      </c>
      <c r="S24" s="138">
        <f t="shared" si="42"/>
        <v>40</v>
      </c>
      <c r="T24" s="138">
        <f t="shared" si="9"/>
        <v>312.4</v>
      </c>
      <c r="U24" s="122"/>
      <c r="V24" s="19"/>
      <c r="W24" s="19"/>
      <c r="X24" s="19"/>
      <c r="Y24" s="120">
        <v>3</v>
      </c>
      <c r="Z24" s="155">
        <f t="shared" si="39"/>
        <v>649863.1119218062</v>
      </c>
      <c r="AA24" s="118">
        <f t="shared" si="10"/>
        <v>69</v>
      </c>
      <c r="AB24" s="117">
        <f t="shared" si="11"/>
        <v>79.2</v>
      </c>
      <c r="AC24" s="117">
        <f t="shared" si="12"/>
        <v>69</v>
      </c>
      <c r="AD24" s="117">
        <f t="shared" si="13"/>
        <v>79.2</v>
      </c>
      <c r="AE24" s="117">
        <f t="shared" si="40"/>
        <v>16</v>
      </c>
      <c r="AF24" s="117">
        <f t="shared" si="14"/>
        <v>34.5</v>
      </c>
      <c r="AG24" s="117">
        <f t="shared" si="15"/>
        <v>0.5</v>
      </c>
      <c r="AH24" s="117">
        <f t="shared" si="16"/>
        <v>3.4</v>
      </c>
      <c r="AI24" s="117">
        <f t="shared" si="17"/>
        <v>50.5</v>
      </c>
      <c r="AJ24" s="117">
        <f t="shared" si="18"/>
        <v>34.5</v>
      </c>
      <c r="AK24" s="117">
        <f t="shared" si="19"/>
        <v>100.5</v>
      </c>
      <c r="AL24" s="117">
        <f t="shared" si="20"/>
        <v>65.6</v>
      </c>
      <c r="AM24" s="117">
        <f t="shared" si="21"/>
        <v>50.5</v>
      </c>
      <c r="AN24" s="117">
        <f t="shared" si="22"/>
        <v>65.6</v>
      </c>
      <c r="AO24" s="117">
        <f t="shared" si="23"/>
        <v>103</v>
      </c>
      <c r="AP24" s="117">
        <f t="shared" si="24"/>
        <v>36.092829705505764</v>
      </c>
      <c r="AQ24" s="117">
        <f t="shared" si="25"/>
        <v>53.188860435339315</v>
      </c>
      <c r="AR24" s="117">
        <f t="shared" si="26"/>
        <v>1.592829705505764</v>
      </c>
      <c r="AS24" s="117">
        <f t="shared" si="26"/>
        <v>52.688860435339315</v>
      </c>
      <c r="AT24" s="117">
        <f t="shared" si="27"/>
        <v>32.692829705505766</v>
      </c>
      <c r="AU24" s="117">
        <f t="shared" si="27"/>
        <v>2.688860435339315</v>
      </c>
      <c r="AV24" s="117">
        <f>AP24-AJ24</f>
        <v>1.592829705505764</v>
      </c>
      <c r="AW24" s="117">
        <f>AK24-AQ24</f>
        <v>47.311139564660685</v>
      </c>
      <c r="AX24" s="117">
        <f>AL24-AP24</f>
        <v>29.50717029449423</v>
      </c>
      <c r="AY24" s="117">
        <f>AQ24-AM24</f>
        <v>2.688860435339315</v>
      </c>
      <c r="AZ24" s="117">
        <f t="shared" si="32"/>
        <v>29.50717029449423</v>
      </c>
      <c r="BA24" s="117">
        <f t="shared" si="32"/>
        <v>49.811139564660685</v>
      </c>
      <c r="BB24" s="118">
        <f>AQ24</f>
        <v>53.188860435339315</v>
      </c>
      <c r="BC24" s="119">
        <f t="shared" si="34"/>
        <v>51.811139564660685</v>
      </c>
      <c r="BD24" s="118">
        <f t="shared" si="35"/>
        <v>32.907170294494236</v>
      </c>
      <c r="BE24" s="119">
        <f>AP24</f>
        <v>36.092829705505764</v>
      </c>
      <c r="BG24" s="1"/>
      <c r="BH24" s="1"/>
      <c r="BP24" s="1"/>
    </row>
    <row r="25" spans="2:68" s="23" customFormat="1" ht="19.5" customHeight="1">
      <c r="B25" s="124">
        <f t="shared" si="41"/>
        <v>11</v>
      </c>
      <c r="C25" s="125">
        <v>69</v>
      </c>
      <c r="D25" s="125">
        <v>99</v>
      </c>
      <c r="E25" s="126">
        <v>1.2</v>
      </c>
      <c r="F25" s="126">
        <v>1</v>
      </c>
      <c r="G25" s="127">
        <v>4</v>
      </c>
      <c r="H25" s="127">
        <f t="shared" si="0"/>
        <v>63</v>
      </c>
      <c r="I25" s="128">
        <f t="shared" si="1"/>
        <v>101.4</v>
      </c>
      <c r="J25" s="128">
        <f t="shared" si="2"/>
        <v>62</v>
      </c>
      <c r="K25" s="128">
        <f t="shared" si="3"/>
        <v>100.2</v>
      </c>
      <c r="L25" s="132">
        <f t="shared" si="37"/>
        <v>6212.400000000001</v>
      </c>
      <c r="M25" s="130">
        <f t="shared" si="4"/>
        <v>99</v>
      </c>
      <c r="N25" s="131">
        <f t="shared" si="5"/>
        <v>619979.0133459782</v>
      </c>
      <c r="O25" s="132">
        <f t="shared" si="6"/>
        <v>270745.5406041447</v>
      </c>
      <c r="P25" s="132">
        <f t="shared" si="7"/>
        <v>11715.116266386312</v>
      </c>
      <c r="Q25" s="132">
        <f t="shared" si="8"/>
        <v>7561.32246533551</v>
      </c>
      <c r="R25" s="157">
        <f t="shared" si="38"/>
        <v>306.92558</v>
      </c>
      <c r="S25" s="129">
        <f t="shared" si="42"/>
        <v>40</v>
      </c>
      <c r="T25" s="129">
        <f t="shared" si="9"/>
        <v>379.6</v>
      </c>
      <c r="U25" s="122"/>
      <c r="V25" s="19"/>
      <c r="W25" s="19"/>
      <c r="X25" s="19"/>
      <c r="Y25" s="120">
        <v>3</v>
      </c>
      <c r="Z25" s="155">
        <f t="shared" si="39"/>
        <v>806636.5477619505</v>
      </c>
      <c r="AA25" s="118">
        <f t="shared" si="10"/>
        <v>82.8</v>
      </c>
      <c r="AB25" s="117">
        <f t="shared" si="11"/>
        <v>99</v>
      </c>
      <c r="AC25" s="117">
        <f t="shared" si="12"/>
        <v>82.8</v>
      </c>
      <c r="AD25" s="117">
        <f t="shared" si="13"/>
        <v>99</v>
      </c>
      <c r="AE25" s="117">
        <f t="shared" si="40"/>
        <v>16</v>
      </c>
      <c r="AF25" s="117">
        <f t="shared" si="14"/>
        <v>34.5</v>
      </c>
      <c r="AG25" s="117">
        <f t="shared" si="15"/>
        <v>0.6</v>
      </c>
      <c r="AH25" s="117">
        <f t="shared" si="16"/>
        <v>3.5</v>
      </c>
      <c r="AI25" s="117">
        <f t="shared" si="17"/>
        <v>50.7</v>
      </c>
      <c r="AJ25" s="117">
        <f t="shared" si="18"/>
        <v>34.5</v>
      </c>
      <c r="AK25" s="117">
        <f t="shared" si="19"/>
        <v>100.8</v>
      </c>
      <c r="AL25" s="117">
        <f t="shared" si="20"/>
        <v>65.5</v>
      </c>
      <c r="AM25" s="117">
        <f t="shared" si="21"/>
        <v>50.7</v>
      </c>
      <c r="AN25" s="117">
        <f t="shared" si="22"/>
        <v>65.5</v>
      </c>
      <c r="AO25" s="117">
        <f t="shared" si="23"/>
        <v>103.4</v>
      </c>
      <c r="AP25" s="117">
        <f t="shared" si="24"/>
        <v>35.80663856691254</v>
      </c>
      <c r="AQ25" s="117">
        <f t="shared" si="25"/>
        <v>52.92128556375132</v>
      </c>
      <c r="AR25" s="117">
        <f t="shared" si="26"/>
        <v>1.3066385669125395</v>
      </c>
      <c r="AS25" s="117">
        <f t="shared" si="26"/>
        <v>52.32128556375132</v>
      </c>
      <c r="AT25" s="117">
        <f t="shared" si="27"/>
        <v>32.30663856691254</v>
      </c>
      <c r="AU25" s="117">
        <f t="shared" si="27"/>
        <v>2.221285563751316</v>
      </c>
      <c r="AV25" s="117">
        <f>AP25-AJ25</f>
        <v>1.3066385669125395</v>
      </c>
      <c r="AW25" s="117">
        <f>AK25-AQ25</f>
        <v>47.87871443624868</v>
      </c>
      <c r="AX25" s="117">
        <f>AL25-AP25</f>
        <v>29.69336143308746</v>
      </c>
      <c r="AY25" s="117">
        <f>AQ25-AM25</f>
        <v>2.221285563751316</v>
      </c>
      <c r="AZ25" s="117">
        <f t="shared" si="32"/>
        <v>29.69336143308746</v>
      </c>
      <c r="BA25" s="117">
        <f t="shared" si="32"/>
        <v>50.47871443624869</v>
      </c>
      <c r="BB25" s="118">
        <f>AQ25</f>
        <v>52.92128556375132</v>
      </c>
      <c r="BC25" s="119">
        <f t="shared" si="34"/>
        <v>52.47871443624869</v>
      </c>
      <c r="BD25" s="118">
        <f t="shared" si="35"/>
        <v>33.19336143308746</v>
      </c>
      <c r="BE25" s="119">
        <f>AP25</f>
        <v>35.80663856691254</v>
      </c>
      <c r="BG25" s="1"/>
      <c r="BH25" s="1"/>
      <c r="BP25" s="1"/>
    </row>
    <row r="26" spans="2:68" s="23" customFormat="1" ht="19.5" customHeight="1">
      <c r="B26" s="133">
        <f t="shared" si="41"/>
        <v>12</v>
      </c>
      <c r="C26" s="134">
        <v>69</v>
      </c>
      <c r="D26" s="134">
        <v>99</v>
      </c>
      <c r="E26" s="135">
        <v>1.5</v>
      </c>
      <c r="F26" s="135">
        <v>1.2</v>
      </c>
      <c r="G26" s="136">
        <v>4</v>
      </c>
      <c r="H26" s="136">
        <f t="shared" si="0"/>
        <v>63</v>
      </c>
      <c r="I26" s="137">
        <f t="shared" si="1"/>
        <v>102</v>
      </c>
      <c r="J26" s="137">
        <f t="shared" si="2"/>
        <v>61.8</v>
      </c>
      <c r="K26" s="137">
        <f t="shared" si="3"/>
        <v>100.5</v>
      </c>
      <c r="L26" s="141">
        <f t="shared" si="37"/>
        <v>6210.9</v>
      </c>
      <c r="M26" s="139">
        <f t="shared" si="4"/>
        <v>118.8</v>
      </c>
      <c r="N26" s="140">
        <f t="shared" si="5"/>
        <v>760190.6501592128</v>
      </c>
      <c r="O26" s="141">
        <f t="shared" si="6"/>
        <v>323786.231003329</v>
      </c>
      <c r="P26" s="141">
        <f t="shared" si="7"/>
        <v>14300.339532911308</v>
      </c>
      <c r="Q26" s="141">
        <f t="shared" si="8"/>
        <v>9101.924187227012</v>
      </c>
      <c r="R26" s="158">
        <f t="shared" si="38"/>
        <v>372.41813</v>
      </c>
      <c r="S26" s="138">
        <f t="shared" si="42"/>
        <v>40</v>
      </c>
      <c r="T26" s="138">
        <f t="shared" si="9"/>
        <v>460.6</v>
      </c>
      <c r="U26" s="122"/>
      <c r="V26" s="19"/>
      <c r="W26" s="19"/>
      <c r="X26" s="19"/>
      <c r="Y26" s="120">
        <v>3</v>
      </c>
      <c r="Z26" s="155">
        <f t="shared" si="39"/>
        <v>968717.208353091</v>
      </c>
      <c r="AA26" s="118">
        <f t="shared" si="10"/>
        <v>103.5</v>
      </c>
      <c r="AB26" s="117">
        <f t="shared" si="11"/>
        <v>118.8</v>
      </c>
      <c r="AC26" s="117">
        <f t="shared" si="12"/>
        <v>103.5</v>
      </c>
      <c r="AD26" s="117">
        <f t="shared" si="13"/>
        <v>118.8</v>
      </c>
      <c r="AE26" s="117">
        <f t="shared" si="40"/>
        <v>16</v>
      </c>
      <c r="AF26" s="117">
        <f t="shared" si="14"/>
        <v>34.5</v>
      </c>
      <c r="AG26" s="117">
        <f t="shared" si="15"/>
        <v>0.75</v>
      </c>
      <c r="AH26" s="117">
        <f t="shared" si="16"/>
        <v>3.6</v>
      </c>
      <c r="AI26" s="117">
        <f t="shared" si="17"/>
        <v>51</v>
      </c>
      <c r="AJ26" s="117">
        <f t="shared" si="18"/>
        <v>34.5</v>
      </c>
      <c r="AK26" s="117">
        <f t="shared" si="19"/>
        <v>101.25</v>
      </c>
      <c r="AL26" s="117">
        <f t="shared" si="20"/>
        <v>65.4</v>
      </c>
      <c r="AM26" s="117">
        <f t="shared" si="21"/>
        <v>51</v>
      </c>
      <c r="AN26" s="117">
        <f t="shared" si="22"/>
        <v>65.4</v>
      </c>
      <c r="AO26" s="117">
        <f t="shared" si="23"/>
        <v>104</v>
      </c>
      <c r="AP26" s="117">
        <f t="shared" si="24"/>
        <v>35.57338254450717</v>
      </c>
      <c r="AQ26" s="117">
        <f t="shared" si="25"/>
        <v>52.84107685627442</v>
      </c>
      <c r="AR26" s="117">
        <f t="shared" si="26"/>
        <v>1.0733825445071687</v>
      </c>
      <c r="AS26" s="117">
        <f t="shared" si="26"/>
        <v>52.09107685627442</v>
      </c>
      <c r="AT26" s="117">
        <f t="shared" si="27"/>
        <v>31.973382544507167</v>
      </c>
      <c r="AU26" s="117">
        <f t="shared" si="27"/>
        <v>1.8410768562744195</v>
      </c>
      <c r="AV26" s="117">
        <f>AP26-AJ26</f>
        <v>1.0733825445071687</v>
      </c>
      <c r="AW26" s="117">
        <f>AK26-AQ26</f>
        <v>48.40892314372558</v>
      </c>
      <c r="AX26" s="117">
        <f>AL26-AP26</f>
        <v>29.826617455492837</v>
      </c>
      <c r="AY26" s="117">
        <f>AQ26-AM26</f>
        <v>1.8410768562744195</v>
      </c>
      <c r="AZ26" s="117">
        <f t="shared" si="32"/>
        <v>29.826617455492837</v>
      </c>
      <c r="BA26" s="117">
        <f t="shared" si="32"/>
        <v>51.15892314372558</v>
      </c>
      <c r="BB26" s="118">
        <f>AQ26</f>
        <v>52.84107685627442</v>
      </c>
      <c r="BC26" s="119">
        <f t="shared" si="34"/>
        <v>53.15892314372558</v>
      </c>
      <c r="BD26" s="118">
        <f t="shared" si="35"/>
        <v>33.42661745549283</v>
      </c>
      <c r="BE26" s="119">
        <f>AP26</f>
        <v>35.57338254450717</v>
      </c>
      <c r="BG26" s="1"/>
      <c r="BH26" s="1"/>
      <c r="BP26" s="1"/>
    </row>
    <row r="27" spans="2:25" s="23" customFormat="1" ht="19.5" customHeight="1">
      <c r="B27" s="1"/>
      <c r="C27" s="1"/>
      <c r="D27" s="1"/>
      <c r="E27" s="1"/>
      <c r="F27" s="1"/>
      <c r="G27" s="1"/>
      <c r="H27" s="121"/>
      <c r="I27" s="121"/>
      <c r="J27" s="121"/>
      <c r="K27" s="121"/>
      <c r="L27" s="121"/>
      <c r="M27" s="121"/>
      <c r="N27" s="121"/>
      <c r="O27" s="121"/>
      <c r="P27" s="121"/>
      <c r="Q27" s="121"/>
      <c r="R27" s="121"/>
      <c r="S27" s="121"/>
      <c r="T27" s="121"/>
      <c r="U27" s="156"/>
      <c r="V27" s="156"/>
      <c r="W27" s="156"/>
      <c r="X27" s="156"/>
      <c r="Y27" s="121"/>
    </row>
    <row r="28" spans="8:25" s="23" customFormat="1" ht="19.5" customHeight="1">
      <c r="H28" s="1"/>
      <c r="I28" s="2"/>
      <c r="J28" s="2"/>
      <c r="K28" s="2"/>
      <c r="L28" s="2"/>
      <c r="M28" s="2"/>
      <c r="N28" s="2"/>
      <c r="O28" s="2"/>
      <c r="P28" s="2"/>
      <c r="Q28" s="2"/>
      <c r="R28" s="2"/>
      <c r="S28" s="2"/>
      <c r="T28" s="2"/>
      <c r="U28" s="19"/>
      <c r="V28" s="19"/>
      <c r="W28" s="19"/>
      <c r="X28" s="19"/>
      <c r="Y28" s="2"/>
    </row>
    <row r="29" spans="8:24" s="23" customFormat="1" ht="19.5" customHeight="1">
      <c r="H29" s="1"/>
      <c r="I29" s="2"/>
      <c r="J29" s="2"/>
      <c r="K29" s="2"/>
      <c r="L29" s="2"/>
      <c r="M29" s="2"/>
      <c r="N29" s="2"/>
      <c r="O29" s="2"/>
      <c r="U29" s="83"/>
      <c r="V29" s="83"/>
      <c r="W29" s="83"/>
      <c r="X29" s="83"/>
    </row>
    <row r="30" spans="8:24" s="23" customFormat="1" ht="19.5" customHeight="1">
      <c r="H30" s="1"/>
      <c r="I30" s="2"/>
      <c r="J30" s="2"/>
      <c r="K30" s="2"/>
      <c r="L30" s="2"/>
      <c r="M30" s="2"/>
      <c r="N30" s="2"/>
      <c r="O30" s="2"/>
      <c r="U30" s="83"/>
      <c r="V30" s="83"/>
      <c r="W30" s="83"/>
      <c r="X30" s="83"/>
    </row>
    <row r="31" spans="21:24" s="23" customFormat="1" ht="19.5" customHeight="1">
      <c r="U31" s="83"/>
      <c r="V31" s="83"/>
      <c r="W31" s="83"/>
      <c r="X31" s="83"/>
    </row>
    <row r="32" spans="21:24" s="23" customFormat="1" ht="19.5" customHeight="1">
      <c r="U32" s="83"/>
      <c r="V32" s="83"/>
      <c r="W32" s="83"/>
      <c r="X32" s="83"/>
    </row>
    <row r="33" spans="8:24" s="23" customFormat="1" ht="19.5" customHeight="1">
      <c r="H33" s="1"/>
      <c r="I33" s="2"/>
      <c r="J33" s="2"/>
      <c r="K33" s="2"/>
      <c r="L33" s="2"/>
      <c r="M33" s="2"/>
      <c r="N33" s="2"/>
      <c r="U33" s="83"/>
      <c r="V33" s="83"/>
      <c r="W33" s="83"/>
      <c r="X33" s="83"/>
    </row>
    <row r="34" spans="2:7" ht="19.5" customHeight="1">
      <c r="B34" s="23"/>
      <c r="C34" s="23"/>
      <c r="D34" s="23"/>
      <c r="E34" s="23"/>
      <c r="F34" s="23"/>
      <c r="G34" s="23"/>
    </row>
    <row r="35" spans="2:7" ht="19.5" customHeight="1">
      <c r="B35" s="23"/>
      <c r="C35" s="23"/>
      <c r="D35" s="23"/>
      <c r="E35" s="23"/>
      <c r="F35" s="23"/>
      <c r="G35" s="23"/>
    </row>
    <row r="36" spans="2:7" ht="19.5" customHeight="1">
      <c r="B36" s="23"/>
      <c r="C36" s="23"/>
      <c r="D36" s="23"/>
      <c r="E36" s="23"/>
      <c r="F36" s="23"/>
      <c r="G36" s="23"/>
    </row>
    <row r="37" spans="2:7" ht="19.5" customHeight="1">
      <c r="B37" s="23"/>
      <c r="C37" s="23"/>
      <c r="D37" s="23"/>
      <c r="E37" s="23"/>
      <c r="F37" s="23"/>
      <c r="G37" s="23"/>
    </row>
    <row r="38" spans="2:7" ht="19.5" customHeight="1">
      <c r="B38" s="23"/>
      <c r="C38" s="23"/>
      <c r="D38" s="23"/>
      <c r="E38" s="23"/>
      <c r="F38" s="23"/>
      <c r="G38" s="23"/>
    </row>
    <row r="39" spans="2:7" ht="19.5" customHeight="1">
      <c r="B39" s="23"/>
      <c r="C39" s="23"/>
      <c r="D39" s="23"/>
      <c r="E39" s="23"/>
      <c r="F39" s="23"/>
      <c r="G39" s="23"/>
    </row>
    <row r="40" spans="2:7" ht="19.5" customHeight="1">
      <c r="B40" s="23"/>
      <c r="C40" s="23"/>
      <c r="D40" s="23"/>
      <c r="E40" s="23"/>
      <c r="F40" s="23"/>
      <c r="G40" s="23"/>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password="EF77" sheet="1" objects="1" scenarios="1"/>
  <mergeCells count="1">
    <mergeCell ref="B13:B14"/>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85" r:id="rId3"/>
  <headerFooter alignWithMargins="0">
    <oddFooter>&amp;L&amp;F&amp;R&amp;P / &amp;N</oddFooter>
  </headerFooter>
  <legacyDrawing r:id="rId2"/>
  <oleObjects>
    <oleObject progId="AutoCAD.Drawing.15" shapeId="9281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Kutay</cp:lastModifiedBy>
  <cp:lastPrinted>2009-12-23T12:41:12Z</cp:lastPrinted>
  <dcterms:created xsi:type="dcterms:W3CDTF">1998-10-27T11:24:37Z</dcterms:created>
  <dcterms:modified xsi:type="dcterms:W3CDTF">2015-11-30T21:58:11Z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