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401" yWindow="65431" windowWidth="10275" windowHeight="12615" activeTab="0"/>
  </bookViews>
  <sheets>
    <sheet name="Info" sheetId="1" r:id="rId1"/>
    <sheet name="0.0" sheetId="2" r:id="rId2"/>
    <sheet name="1.0" sheetId="3" r:id="rId3"/>
    <sheet name="2.0" sheetId="4" r:id="rId4"/>
  </sheets>
  <definedNames/>
  <calcPr fullCalcOnLoad="1"/>
</workbook>
</file>

<file path=xl/sharedStrings.xml><?xml version="1.0" encoding="utf-8"?>
<sst xmlns="http://schemas.openxmlformats.org/spreadsheetml/2006/main" count="146" uniqueCount="73">
  <si>
    <t>TR</t>
  </si>
  <si>
    <t>DE</t>
  </si>
  <si>
    <t>EN</t>
  </si>
  <si>
    <t>Kullanacağınız sayfaya gelince, hesaplamaya başlamadan önce, bütün mavi karelerdeki değerleri siliniz. Böylece dikkatsizlik yanlışı yapma imkanını ortadan kaldırmış olursunuz.</t>
  </si>
  <si>
    <t>Sıra ile mavi karelere yapacağınız hesaba ait değerleri dikkatlice yerleştiriniz. Hesaplamalarınız için gerekli olmayan mavi karelere değerler yerleştirmek yanlış hesap sonuçlarına sebep olabilir. Dikkatli olmak gereklidir.</t>
  </si>
  <si>
    <t>Bazı mavi karelerin önünde o kareye konulması gereken değerin hesabı vardır. Bilgisayar teoriye göre bu değeri hesaplar. Konstrüktör hesabı yaptığı konstruksiyonun şekline ve şartlarına göre  bilgisayarın önerisini ya kabul eder ve önerilen bu değeri kullanır veya değiştirir.</t>
  </si>
  <si>
    <t>Çoğu mavi karenin çevresinde değerlerin nereden alınması gerektiğini gösteren bilgi bulunmaktadır. Bu gösterilere uyulması hesapların doğruluğu açısından çok önemlidir.</t>
  </si>
  <si>
    <t>Wenn Sie die Berechnungsseite aufschlagen, bitte löschen Sie zuerst alle Werte in den blauen Feldern, damit keine Flüchtigkeitsfehler passieren können.</t>
  </si>
  <si>
    <t>Bitte geben Sie in den blauen Felder die Werte für die Berechnung sorgfältig ein. Wenn Sie ein blaue Feld für Ihre Berechnung nicht brauchen, geben Sie nichts ein (mögliche Fehlerquelle). Bitte passen Sie auf.</t>
  </si>
  <si>
    <t xml:space="preserve">Das Programm berechnet aus den blauen Feldern Berechnungsgrössen. Der Konstrukteur kann jene nach Bedarf und Anforderungen diese gleich annehmen oder entsprechend ändern. </t>
  </si>
  <si>
    <t>In der Umgebung der blauen Felder gibt es Hinweis, wo man die entsprechende Werte entnehmen kann. Es ist für die Sicherheit der Berechnungen sehr wichtig. Die Hinweise müssen befolgt werden.</t>
  </si>
  <si>
    <t>Im Allgemeinen beurteilt das Programm die Resultate unten rechts auf dem Berechnungsblatt. Es werden nur rechnerische Werte verglichen. Das Programm beurteilt die Resultate als zulässig oder unzulässig. Der Konstrukteur muss für beide Fälle nach seinem gesunden Menschenverstand die Resultate nochmals kontrollieren, beurteilen und danach entscheiden. Das Programm ist keine Entscheidungsinstanz, sondern Entscheidungshilfe.</t>
  </si>
  <si>
    <t>Takım tezgahı</t>
  </si>
  <si>
    <t>1.0</t>
  </si>
  <si>
    <t>0.0</t>
  </si>
  <si>
    <t>2.0</t>
  </si>
  <si>
    <r>
      <t>i</t>
    </r>
    <r>
      <rPr>
        <vertAlign val="subscript"/>
        <sz val="10"/>
        <rFont val="Arial"/>
        <family val="2"/>
      </rPr>
      <t>0</t>
    </r>
  </si>
  <si>
    <r>
      <t>n</t>
    </r>
    <r>
      <rPr>
        <vertAlign val="subscript"/>
        <sz val="10"/>
        <rFont val="Arial"/>
        <family val="2"/>
      </rPr>
      <t>G</t>
    </r>
  </si>
  <si>
    <r>
      <t>n</t>
    </r>
    <r>
      <rPr>
        <vertAlign val="subscript"/>
        <sz val="10"/>
        <rFont val="Arial"/>
        <family val="2"/>
      </rPr>
      <t>Ç</t>
    </r>
  </si>
  <si>
    <r>
      <t>n</t>
    </r>
    <r>
      <rPr>
        <vertAlign val="subscript"/>
        <sz val="10"/>
        <rFont val="Arial"/>
        <family val="2"/>
      </rPr>
      <t>K</t>
    </r>
  </si>
  <si>
    <r>
      <t>n</t>
    </r>
    <r>
      <rPr>
        <vertAlign val="subscript"/>
        <sz val="10"/>
        <rFont val="Arial"/>
        <family val="2"/>
      </rPr>
      <t>P</t>
    </r>
  </si>
  <si>
    <r>
      <t>M</t>
    </r>
    <r>
      <rPr>
        <vertAlign val="subscript"/>
        <sz val="10"/>
        <rFont val="Arial"/>
        <family val="2"/>
      </rPr>
      <t>tÇ</t>
    </r>
  </si>
  <si>
    <r>
      <t>M</t>
    </r>
    <r>
      <rPr>
        <vertAlign val="subscript"/>
        <sz val="10"/>
        <rFont val="Arial"/>
        <family val="2"/>
      </rPr>
      <t>tG</t>
    </r>
  </si>
  <si>
    <r>
      <t xml:space="preserve">h </t>
    </r>
    <r>
      <rPr>
        <vertAlign val="subscript"/>
        <sz val="12"/>
        <rFont val="Arial"/>
        <family val="2"/>
      </rPr>
      <t>WL</t>
    </r>
  </si>
  <si>
    <r>
      <t xml:space="preserve">h </t>
    </r>
    <r>
      <rPr>
        <vertAlign val="subscript"/>
        <sz val="12"/>
        <rFont val="Arial"/>
        <family val="2"/>
      </rPr>
      <t>ZR</t>
    </r>
  </si>
  <si>
    <r>
      <t xml:space="preserve">h </t>
    </r>
    <r>
      <rPr>
        <vertAlign val="subscript"/>
        <sz val="12"/>
        <rFont val="Arial"/>
        <family val="2"/>
      </rPr>
      <t>Di</t>
    </r>
  </si>
  <si>
    <r>
      <t xml:space="preserve">h </t>
    </r>
    <r>
      <rPr>
        <vertAlign val="subscript"/>
        <sz val="12"/>
        <rFont val="Arial"/>
        <family val="2"/>
      </rPr>
      <t>top</t>
    </r>
  </si>
  <si>
    <r>
      <t>M</t>
    </r>
    <r>
      <rPr>
        <vertAlign val="subscript"/>
        <sz val="10"/>
        <rFont val="Arial"/>
        <family val="2"/>
      </rPr>
      <t>tK</t>
    </r>
  </si>
  <si>
    <r>
      <t>i</t>
    </r>
    <r>
      <rPr>
        <vertAlign val="subscript"/>
        <sz val="10"/>
        <rFont val="Arial"/>
        <family val="2"/>
      </rPr>
      <t>GK</t>
    </r>
  </si>
  <si>
    <r>
      <t>i</t>
    </r>
    <r>
      <rPr>
        <vertAlign val="subscript"/>
        <sz val="10"/>
        <rFont val="Arial"/>
        <family val="2"/>
      </rPr>
      <t>GP</t>
    </r>
  </si>
  <si>
    <r>
      <t>i</t>
    </r>
    <r>
      <rPr>
        <vertAlign val="subscript"/>
        <sz val="10"/>
        <rFont val="Arial"/>
        <family val="2"/>
      </rPr>
      <t>GÇ</t>
    </r>
  </si>
  <si>
    <r>
      <t>i</t>
    </r>
    <r>
      <rPr>
        <vertAlign val="subscript"/>
        <sz val="10"/>
        <rFont val="Arial"/>
        <family val="2"/>
      </rPr>
      <t>ÇG</t>
    </r>
  </si>
  <si>
    <r>
      <t>i</t>
    </r>
    <r>
      <rPr>
        <vertAlign val="subscript"/>
        <sz val="10"/>
        <rFont val="Arial"/>
        <family val="2"/>
      </rPr>
      <t>ÇP</t>
    </r>
  </si>
  <si>
    <r>
      <t>i</t>
    </r>
    <r>
      <rPr>
        <vertAlign val="subscript"/>
        <sz val="10"/>
        <rFont val="Arial"/>
        <family val="2"/>
      </rPr>
      <t>KG</t>
    </r>
  </si>
  <si>
    <r>
      <t>i</t>
    </r>
    <r>
      <rPr>
        <vertAlign val="subscript"/>
        <sz val="10"/>
        <rFont val="Arial"/>
        <family val="2"/>
      </rPr>
      <t>ÇK</t>
    </r>
  </si>
  <si>
    <r>
      <t>i</t>
    </r>
    <r>
      <rPr>
        <vertAlign val="subscript"/>
        <sz val="10"/>
        <rFont val="Arial"/>
        <family val="2"/>
      </rPr>
      <t>KÇ</t>
    </r>
  </si>
  <si>
    <r>
      <t>z</t>
    </r>
    <r>
      <rPr>
        <vertAlign val="subscript"/>
        <sz val="10"/>
        <rFont val="Arial"/>
        <family val="2"/>
      </rPr>
      <t>G</t>
    </r>
  </si>
  <si>
    <r>
      <t>z</t>
    </r>
    <r>
      <rPr>
        <vertAlign val="subscript"/>
        <sz val="10"/>
        <rFont val="Arial"/>
        <family val="2"/>
      </rPr>
      <t>Ç</t>
    </r>
  </si>
  <si>
    <r>
      <t>z</t>
    </r>
    <r>
      <rPr>
        <vertAlign val="subscript"/>
        <sz val="10"/>
        <rFont val="Arial"/>
        <family val="2"/>
      </rPr>
      <t>P</t>
    </r>
  </si>
  <si>
    <r>
      <t>k</t>
    </r>
    <r>
      <rPr>
        <vertAlign val="subscript"/>
        <sz val="10"/>
        <rFont val="Arial"/>
        <family val="2"/>
      </rPr>
      <t>P</t>
    </r>
  </si>
  <si>
    <t>+</t>
  </si>
  <si>
    <t>Türkçe için, lütfen " 1 " yaz ve "Enter" i tuşla.</t>
  </si>
  <si>
    <t>Für Deutsch, tippen Sie bitte " 2 " ein und enter.</t>
  </si>
  <si>
    <t>For English, please type " 3 " and press "enter".</t>
  </si>
  <si>
    <t>www.guven-kutay.ch</t>
  </si>
  <si>
    <t>e-mail :  info@guven-kutay.ch</t>
  </si>
  <si>
    <t>Copyright : M. G. Kutay , Ver 10.01</t>
  </si>
  <si>
    <t xml:space="preserve">Bu program iyi niyetle ve bu günün teknik imkanlarına göre yapılmıştır. Bu programın yalnış kullanılmasından doğacak her türlü maddi ve manevi zarar için sorumluluk kullanana aittir. Bu programı kullananlar kullandıkları yerdeki şartları iyi değerlendirip bu programın yeterli olup olmadığına karar vermeleri ve gerekirse daha detaylı hesap yapmaları önerilir. Eğer herhangi bir düzeltme, tamamlama veya bir arzunuz olursa, hiç çekinmeden bizimle temasa geçebilirsiniz. </t>
  </si>
  <si>
    <t xml:space="preserve">Dieses Programm wurde nach bestem Wissen erstellt und entspricht dem aktuellen Stand der Technik. Für fehlerhafte Anwendung wird keine Haftung übernommen. Die Anwenderin bzw. der Anwender dieses Programmes muss die Zulässigkeit der Vereinfachungen im Einzelfall überprüfen und wenn nötig zusätzliche Berechnungen anstellen. Wenn Sie irgendeine Korrektur, Erweiterung oder Wunsch haben, können Sie sich ohne weiteres bei uns melden. </t>
  </si>
  <si>
    <t>D</t>
  </si>
  <si>
    <t>All information in this program is factual to the author best knowledge and corresponds to the current state of the art. However, no liability is accepted for erroneous application. The user of this program must check the validity of simplifications on an individual basis and, if necessary, make appropriate calculations. Corrections, clarifications or other questions, should be sent to us.</t>
  </si>
  <si>
    <t>E</t>
  </si>
  <si>
    <t>Bu programdaki her bilgiyi kaynak göstermek şartıyla her yerde kullanabilirsiniz. Bu programa verilecek değerleri (mavi kareler) ya bu sitedeki bilgilerden veya literatürden almalısınız.</t>
  </si>
  <si>
    <t>Die Angaben in diesem Programm dürfen mit Hinweis auf die Quelle veröffentlicht werden. Die in dieses Programm einzugebenden Daten (die blaue Felder), können entweder aus den Unterlagen auf dieser Website oder aus der Literatur entnommen werden.</t>
  </si>
  <si>
    <t>The information in this program can be published with reference to the source. The input to this program (the blue fields) can be taken either from the documents on this Web site or from literature.</t>
  </si>
  <si>
    <t>Programın kullanılması:</t>
  </si>
  <si>
    <t>Benützung des Programmes:</t>
  </si>
  <si>
    <t>Using the program:</t>
  </si>
  <si>
    <t>Bu programı bilgisayarınızda kendinize göre bir yere kopyasını çıkarınız. Hesap yapacağınız zaman bilgisayardaki programı kullanınız.</t>
  </si>
  <si>
    <t>Kopieren Sie dieses Programm auf Ihrem Computer, wohin Sie es wollen. Verwenden Sie bei der Berechnungen das Programm, welches Sie auf Ihrem Computer haben.</t>
  </si>
  <si>
    <t>Download this program to a convenient place on your computer, and run it as necessary (or required).</t>
  </si>
  <si>
    <t>If you open the calculation page, please extinguish all values in the blue fields first to avoid errors.</t>
  </si>
  <si>
    <t>Please enter your input values carefully in the blue fields. Unused inputs can be left blank. Please be careful.</t>
  </si>
  <si>
    <t>The program returns calculated results to the yellow fields. The user can accept these results, or change them.</t>
  </si>
  <si>
    <t>In the blue input fields, references can be found which are very important for the safety of the calculations. These references must be followed.</t>
  </si>
  <si>
    <t>İnanılır hesapların yapılabilinmesi için konu hakkında gereken teoriyi önceden öğrenmek avantajdır.</t>
  </si>
  <si>
    <t>Um glaubwürdigen Berechnungen durchzuführen, sind die gute theoretische Kenntnisse im Vorteil.</t>
  </si>
  <si>
    <t>To carry out reliable calculations, good understanding of the theoretical background is necessary.</t>
  </si>
  <si>
    <t>Genel olarak her hesap sayfasının sağ alt köşesinde program sonuçları bilgisayar tarafından değerlendirilir. Bu mekanik bir değerlendirmedir. Konstruktör bu sonuçları kendi sağ duyusu ile değerlendirmelidir. Bazan bilgisayar sonuçların yeterli olduğunu, bazanda yeterli olmadığını önerir. Bu iki haldede kararı konstrüktörün kendisinin vermesi gerekmektedir. Bilgisayar yalnız öneride bulunur kararı hep hesabı yapan konstrüktör verir ve sorumluluk hep kararı veren konstrüktöre aittir. Bilgisayar bir hukuki şahıs değildir.</t>
  </si>
  <si>
    <t>The program in general judges the results on the lower right on the screen. Only computed values are compared. The program accept or reject the results. The user must check the results according to his healthy human intellect, judge them and only them decide. The program is not decision-maker body but only a decision aid.</t>
  </si>
  <si>
    <t>Eğer hesaplamalarında özel bir konstruksiyonun hesabı gerekiyorsa veya öğrenmek istediğiniz bir şey varsa, hiç çekinmeden bizimle temasa geçebilirsiniz. Bilgimizin yettiği kadar size memnuniyetle yardım ederiz.</t>
  </si>
  <si>
    <t>Wenn Sie bei einer speziellen Aufgabe etwas brauchen, dürfen Sie jederzeit  mit mir Kontakt aufnehmen und Ihre Probleme mitteilen. Soweit wir können,  werden wir versuchen Ihnen zu helfen.</t>
  </si>
  <si>
    <t>If you need something in the case of a specific task, you may all time contact us and inform us of your problems. As far as we can, we will attempt to help you.</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</si>
</sst>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Fr.&quot;\ #,##0;[Red]&quot;Fr.&quot;\ \-#,##0"/>
    <numFmt numFmtId="165" formatCode="&quot;Fr.&quot;\ #,##0.00;[Red]&quot;Fr.&quot;\ \-#,##0.00"/>
    <numFmt numFmtId="166" formatCode="0.0"/>
    <numFmt numFmtId="167" formatCode="0.000"/>
    <numFmt numFmtId="168" formatCode="0\ &quot;)&quot;"/>
  </numFmts>
  <fonts count="47">
    <font>
      <sz val="10"/>
      <name val="Arial"/>
      <family val="2"/>
    </font>
    <font>
      <b/>
      <sz val="10"/>
      <name val="MS Sans Serif"/>
      <family val="0"/>
    </font>
    <font>
      <i/>
      <sz val="10"/>
      <name val="MS Sans Serif"/>
      <family val="0"/>
    </font>
    <font>
      <b/>
      <i/>
      <sz val="10"/>
      <name val="MS Sans Serif"/>
      <family val="0"/>
    </font>
    <font>
      <sz val="10"/>
      <name val="MS Sans Serif"/>
      <family val="0"/>
    </font>
    <font>
      <sz val="10"/>
      <color indexed="10"/>
      <name val="Arial"/>
      <family val="2"/>
    </font>
    <font>
      <b/>
      <sz val="10"/>
      <color indexed="10"/>
      <name val="Arial"/>
      <family val="2"/>
    </font>
    <font>
      <sz val="10"/>
      <color indexed="12"/>
      <name val="Arial"/>
      <family val="2"/>
    </font>
    <font>
      <vertAlign val="subscript"/>
      <sz val="10"/>
      <name val="Arial"/>
      <family val="2"/>
    </font>
    <font>
      <sz val="12"/>
      <name val="Arial"/>
      <family val="2"/>
    </font>
    <font>
      <u val="single"/>
      <sz val="8.5"/>
      <color indexed="12"/>
      <name val="Arial"/>
      <family val="2"/>
    </font>
    <font>
      <u val="single"/>
      <sz val="8.5"/>
      <color indexed="36"/>
      <name val="Arial"/>
      <family val="2"/>
    </font>
    <font>
      <b/>
      <sz val="36"/>
      <color indexed="10"/>
      <name val="Arial"/>
      <family val="2"/>
    </font>
    <font>
      <b/>
      <sz val="12"/>
      <color indexed="10"/>
      <name val="Arial"/>
      <family val="2"/>
    </font>
    <font>
      <b/>
      <sz val="10"/>
      <color indexed="39"/>
      <name val="Arial"/>
      <family val="2"/>
    </font>
    <font>
      <b/>
      <sz val="12"/>
      <name val="Arial"/>
      <family val="2"/>
    </font>
    <font>
      <sz val="10"/>
      <name val="Symbol"/>
      <family val="1"/>
    </font>
    <font>
      <vertAlign val="subscript"/>
      <sz val="12"/>
      <name val="Arial"/>
      <family val="2"/>
    </font>
    <font>
      <sz val="10"/>
      <color indexed="39"/>
      <name val="Arial"/>
      <family val="2"/>
    </font>
    <font>
      <b/>
      <sz val="18"/>
      <color indexed="10"/>
      <name val="Arial"/>
      <family val="2"/>
    </font>
    <fon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MS Sans Serif"/>
      <family val="2"/>
    </font>
    <font>
      <b/>
      <sz val="12"/>
      <color indexed="39"/>
      <name val="Arial"/>
      <family val="2"/>
    </font>
    <font>
      <b/>
      <sz val="48"/>
      <color indexed="10"/>
      <name val="Arial"/>
      <family val="2"/>
    </font>
    <font>
      <b/>
      <sz val="12"/>
      <color indexed="10"/>
      <name val="MS Sans Serif"/>
      <family val="2"/>
    </font>
    <font>
      <sz val="12"/>
      <color indexed="10"/>
      <name val="Arial"/>
      <family val="2"/>
    </font>
    <font>
      <sz val="12"/>
      <color indexed="10"/>
      <name val="MS Sans Serif"/>
      <family val="2"/>
    </font>
    <font>
      <sz val="12"/>
      <color indexed="12"/>
      <name val="Arial"/>
      <family val="2"/>
    </font>
    <font>
      <sz val="12"/>
      <color indexed="12"/>
      <name val="MS Sans Serif"/>
      <family val="2"/>
    </font>
    <font>
      <i/>
      <sz val="12"/>
      <color indexed="10"/>
      <name val="Arial"/>
      <family val="2"/>
    </font>
    <font>
      <b/>
      <i/>
      <sz val="12"/>
      <color indexed="10"/>
      <name val="Arial"/>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lightGray">
        <fgColor indexed="15"/>
      </patternFill>
    </fill>
    <fill>
      <patternFill patternType="lightGray">
        <fgColor indexed="13"/>
      </patternFill>
    </fill>
    <fill>
      <patternFill patternType="lightGray">
        <fgColor indexed="45"/>
      </patternFill>
    </fill>
    <fill>
      <patternFill patternType="lightGray">
        <fgColor indexed="11"/>
      </patternFill>
    </fill>
  </fills>
  <borders count="45">
    <border>
      <left/>
      <right/>
      <top/>
      <bottom/>
      <diagonal/>
    </border>
    <border>
      <left>
        <color indexed="63"/>
      </left>
      <right>
        <color indexed="63"/>
      </right>
      <top>
        <color indexed="63"/>
      </top>
      <bottom style="double">
        <color indexed="10"/>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56"/>
      </top>
      <bottom style="double">
        <color indexed="56"/>
      </bottom>
    </border>
    <border>
      <left style="thin"/>
      <right>
        <color indexed="63"/>
      </right>
      <top style="hair"/>
      <bottom style="thin"/>
    </border>
    <border>
      <left style="thin"/>
      <right>
        <color indexed="63"/>
      </right>
      <top style="hair"/>
      <bottom style="hair"/>
    </border>
    <border>
      <left>
        <color indexed="63"/>
      </left>
      <right>
        <color indexed="63"/>
      </right>
      <top style="hair"/>
      <bottom style="hair"/>
    </border>
    <border>
      <left style="hair"/>
      <right style="thin"/>
      <top style="hair"/>
      <bottom style="hair"/>
    </border>
    <border>
      <left>
        <color indexed="63"/>
      </left>
      <right>
        <color indexed="63"/>
      </right>
      <top style="thin"/>
      <bottom style="hair"/>
    </border>
    <border>
      <left style="hair"/>
      <right style="thin"/>
      <top style="hair"/>
      <bottom style="thin"/>
    </border>
    <border>
      <left style="hair"/>
      <right style="thin"/>
      <top style="thin"/>
      <bottom style="hair"/>
    </border>
    <border>
      <left style="thin"/>
      <right>
        <color indexed="63"/>
      </right>
      <top style="thin"/>
      <bottom style="hair"/>
    </border>
    <border>
      <left>
        <color indexed="63"/>
      </left>
      <right>
        <color indexed="63"/>
      </right>
      <top style="hair"/>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hair"/>
      <right style="hair"/>
      <top style="thin"/>
      <bottom style="hair"/>
    </border>
    <border>
      <left>
        <color indexed="63"/>
      </left>
      <right>
        <color indexed="63"/>
      </right>
      <top style="hair"/>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thin"/>
      <right>
        <color indexed="63"/>
      </right>
      <top style="thin"/>
      <bottom>
        <color indexed="63"/>
      </bottom>
    </border>
    <border>
      <left style="thin"/>
      <right>
        <color indexed="63"/>
      </right>
      <top style="hair"/>
      <bottom>
        <color indexed="63"/>
      </bottom>
    </border>
    <border>
      <left>
        <color indexed="63"/>
      </left>
      <right style="hair"/>
      <top style="hair"/>
      <bottom>
        <color indexed="63"/>
      </bottom>
    </border>
    <border>
      <left style="hair"/>
      <right style="hair"/>
      <top style="hair"/>
      <bottom style="thin"/>
    </border>
    <border>
      <left style="double">
        <color indexed="10"/>
      </left>
      <right>
        <color indexed="63"/>
      </right>
      <top style="double">
        <color indexed="10"/>
      </top>
      <bottom style="hair">
        <color indexed="10"/>
      </bottom>
    </border>
    <border>
      <left>
        <color indexed="63"/>
      </left>
      <right>
        <color indexed="63"/>
      </right>
      <top style="double">
        <color indexed="10"/>
      </top>
      <bottom style="hair">
        <color indexed="10"/>
      </bottom>
    </border>
    <border>
      <left>
        <color indexed="63"/>
      </left>
      <right style="double">
        <color indexed="10"/>
      </right>
      <top style="double">
        <color indexed="10"/>
      </top>
      <bottom style="hair">
        <color indexed="10"/>
      </bottom>
    </border>
    <border>
      <left style="double">
        <color indexed="10"/>
      </left>
      <right>
        <color indexed="63"/>
      </right>
      <top style="hair">
        <color indexed="10"/>
      </top>
      <bottom style="hair">
        <color indexed="10"/>
      </bottom>
    </border>
    <border>
      <left>
        <color indexed="63"/>
      </left>
      <right>
        <color indexed="63"/>
      </right>
      <top style="hair">
        <color indexed="10"/>
      </top>
      <bottom style="hair">
        <color indexed="10"/>
      </bottom>
    </border>
    <border>
      <left>
        <color indexed="63"/>
      </left>
      <right style="double">
        <color indexed="10"/>
      </right>
      <top style="hair">
        <color indexed="10"/>
      </top>
      <bottom style="hair">
        <color indexed="10"/>
      </bottom>
    </border>
    <border>
      <left style="double">
        <color indexed="10"/>
      </left>
      <right>
        <color indexed="63"/>
      </right>
      <top style="hair">
        <color indexed="10"/>
      </top>
      <bottom style="double">
        <color indexed="10"/>
      </bottom>
    </border>
    <border>
      <left>
        <color indexed="63"/>
      </left>
      <right>
        <color indexed="63"/>
      </right>
      <top style="hair">
        <color indexed="10"/>
      </top>
      <bottom style="double">
        <color indexed="10"/>
      </bottom>
    </border>
    <border>
      <left>
        <color indexed="63"/>
      </left>
      <right style="double">
        <color indexed="10"/>
      </right>
      <top style="hair">
        <color indexed="10"/>
      </top>
      <bottom style="double">
        <color indexed="10"/>
      </bottom>
    </border>
    <border>
      <left style="double">
        <color indexed="10"/>
      </left>
      <right style="double">
        <color indexed="10"/>
      </right>
      <top style="double">
        <color indexed="10"/>
      </top>
      <bottom style="double">
        <color indexed="10"/>
      </bottom>
    </border>
    <border>
      <left style="double">
        <color indexed="10"/>
      </left>
      <right style="double">
        <color indexed="10"/>
      </right>
      <top style="double">
        <color indexed="10"/>
      </top>
      <bottom>
        <color indexed="63"/>
      </bottom>
    </border>
    <border>
      <left style="double">
        <color indexed="10"/>
      </left>
      <right style="double">
        <color indexed="10"/>
      </right>
      <top>
        <color indexed="63"/>
      </top>
      <bottom>
        <color indexed="63"/>
      </bottom>
    </border>
    <border>
      <left style="double">
        <color indexed="10"/>
      </left>
      <right style="double">
        <color indexed="10"/>
      </right>
      <top>
        <color indexed="63"/>
      </top>
      <bottom style="double">
        <color indexed="1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3" fillId="0" borderId="0" applyNumberFormat="0" applyFill="0" applyBorder="0" applyAlignment="0" applyProtection="0"/>
    <xf numFmtId="0" fontId="21" fillId="0" borderId="0" applyNumberFormat="0" applyFill="0" applyBorder="0" applyAlignment="0" applyProtection="0"/>
    <xf numFmtId="0" fontId="3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29" fillId="11" borderId="5"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0" fontId="28" fillId="7" borderId="6" applyNumberFormat="0" applyAlignment="0" applyProtection="0"/>
    <xf numFmtId="0" fontId="30" fillId="11" borderId="6" applyNumberFormat="0" applyAlignment="0" applyProtection="0"/>
    <xf numFmtId="0" fontId="10" fillId="0" borderId="0" applyNumberFormat="0" applyFill="0" applyBorder="0" applyAlignment="0" applyProtection="0"/>
    <xf numFmtId="0" fontId="32" fillId="12" borderId="7" applyNumberFormat="0" applyAlignment="0" applyProtection="0"/>
    <xf numFmtId="0" fontId="25" fillId="6" borderId="0" applyNumberFormat="0" applyBorder="0" applyAlignment="0" applyProtection="0"/>
    <xf numFmtId="0" fontId="26" fillId="13" borderId="0" applyNumberFormat="0" applyBorder="0" applyAlignment="0" applyProtection="0"/>
    <xf numFmtId="0" fontId="0" fillId="4" borderId="8" applyNumberFormat="0" applyFont="0" applyAlignment="0" applyProtection="0"/>
    <xf numFmtId="0" fontId="27" fillId="7" borderId="0" applyNumberFormat="0" applyBorder="0" applyAlignment="0" applyProtection="0"/>
    <xf numFmtId="9" fontId="4" fillId="0" borderId="0" applyFont="0" applyFill="0" applyBorder="0" applyAlignment="0" applyProtection="0"/>
    <xf numFmtId="0" fontId="34" fillId="0" borderId="9" applyNumberFormat="0" applyFill="0" applyAlignment="0" applyProtection="0"/>
    <xf numFmtId="0" fontId="31" fillId="0" borderId="0" applyNumberFormat="0" applyFill="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165" fontId="4" fillId="0" borderId="0" applyFont="0" applyFill="0" applyBorder="0" applyAlignment="0" applyProtection="0"/>
    <xf numFmtId="164" fontId="4" fillId="0" borderId="0" applyFont="0" applyFill="0" applyBorder="0" applyAlignment="0" applyProtection="0"/>
  </cellStyleXfs>
  <cellXfs count="197">
    <xf numFmtId="0" fontId="0" fillId="0" borderId="0" xfId="0" applyAlignment="1">
      <alignment/>
    </xf>
    <xf numFmtId="0" fontId="0" fillId="0" borderId="0" xfId="0" applyAlignment="1" applyProtection="1">
      <alignment/>
      <protection hidden="1"/>
    </xf>
    <xf numFmtId="0" fontId="4"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0" applyFont="1" applyAlignment="1" applyProtection="1" quotePrefix="1">
      <alignment horizontal="left" vertical="center"/>
      <protection hidden="1"/>
    </xf>
    <xf numFmtId="0" fontId="5" fillId="0" borderId="0" xfId="0" applyFont="1" applyAlignment="1" applyProtection="1">
      <alignment vertical="center"/>
      <protection hidden="1"/>
    </xf>
    <xf numFmtId="0" fontId="0" fillId="0" borderId="0" xfId="0" applyFont="1" applyAlignment="1" applyProtection="1">
      <alignment/>
      <protection hidden="1"/>
    </xf>
    <xf numFmtId="0" fontId="0" fillId="0" borderId="0" xfId="0" applyFont="1" applyAlignment="1" applyProtection="1">
      <alignment vertical="center"/>
      <protection hidden="1"/>
    </xf>
    <xf numFmtId="0" fontId="0" fillId="0" borderId="0" xfId="0" applyFont="1" applyAlignment="1" applyProtection="1" quotePrefix="1">
      <alignment horizontal="left" vertical="center"/>
      <protection hidden="1"/>
    </xf>
    <xf numFmtId="0" fontId="0" fillId="0" borderId="10" xfId="0" applyFont="1" applyBorder="1" applyAlignment="1" applyProtection="1" quotePrefix="1">
      <alignment horizontal="left" vertical="center"/>
      <protection hidden="1"/>
    </xf>
    <xf numFmtId="0" fontId="5" fillId="0" borderId="0" xfId="0" applyFont="1" applyAlignment="1" applyProtection="1">
      <alignment horizontal="center" vertical="center"/>
      <protection hidden="1"/>
    </xf>
    <xf numFmtId="0" fontId="0" fillId="0" borderId="11"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0" fillId="0" borderId="0" xfId="0" applyFont="1" applyAlignment="1" applyProtection="1">
      <alignment vertical="center"/>
      <protection hidden="1"/>
    </xf>
    <xf numFmtId="0" fontId="6" fillId="0" borderId="0" xfId="0" applyFont="1" applyAlignment="1" applyProtection="1">
      <alignment vertical="center"/>
      <protection hidden="1"/>
    </xf>
    <xf numFmtId="0" fontId="14" fillId="0" borderId="0" xfId="0" applyFont="1" applyAlignment="1" applyProtection="1">
      <alignment vertical="center"/>
      <protection hidden="1"/>
    </xf>
    <xf numFmtId="0" fontId="9" fillId="0" borderId="0" xfId="0" applyFont="1" applyAlignment="1" applyProtection="1">
      <alignment horizontal="left" vertical="center"/>
      <protection hidden="1"/>
    </xf>
    <xf numFmtId="0" fontId="13" fillId="0" borderId="0" xfId="0" applyFont="1" applyAlignment="1" applyProtection="1">
      <alignment/>
      <protection hidden="1"/>
    </xf>
    <xf numFmtId="168" fontId="15" fillId="0" borderId="0" xfId="0" applyNumberFormat="1" applyFont="1" applyAlignment="1" applyProtection="1">
      <alignment horizontal="right" vertical="top"/>
      <protection hidden="1"/>
    </xf>
    <xf numFmtId="0" fontId="0" fillId="0" borderId="12" xfId="0" applyFont="1" applyBorder="1" applyAlignment="1" applyProtection="1">
      <alignment vertical="center"/>
      <protection hidden="1"/>
    </xf>
    <xf numFmtId="166" fontId="5" fillId="0" borderId="13" xfId="0" applyNumberFormat="1" applyFont="1" applyBorder="1" applyAlignment="1" applyProtection="1">
      <alignment horizontal="center" vertical="center"/>
      <protection hidden="1"/>
    </xf>
    <xf numFmtId="0" fontId="0" fillId="0" borderId="14" xfId="0" applyFont="1" applyBorder="1" applyAlignment="1" applyProtection="1">
      <alignment vertical="center"/>
      <protection hidden="1"/>
    </xf>
    <xf numFmtId="0" fontId="9" fillId="0" borderId="0" xfId="0" applyFont="1" applyAlignment="1" applyProtection="1">
      <alignment vertical="center" wrapText="1"/>
      <protection hidden="1"/>
    </xf>
    <xf numFmtId="0" fontId="9" fillId="0" borderId="0" xfId="0" applyFont="1" applyAlignment="1" applyProtection="1">
      <alignment horizontal="left" vertical="center" wrapText="1"/>
      <protection hidden="1"/>
    </xf>
    <xf numFmtId="168" fontId="9" fillId="0" borderId="0" xfId="0" applyNumberFormat="1" applyFont="1" applyAlignment="1" applyProtection="1">
      <alignment horizontal="right" vertical="top" wrapText="1"/>
      <protection hidden="1"/>
    </xf>
    <xf numFmtId="0" fontId="7" fillId="18" borderId="0" xfId="0" applyFont="1" applyFill="1" applyBorder="1" applyAlignment="1" applyProtection="1">
      <alignment horizontal="left" vertical="center"/>
      <protection locked="0"/>
    </xf>
    <xf numFmtId="0" fontId="7" fillId="18" borderId="13"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left" vertical="center"/>
      <protection hidden="1"/>
    </xf>
    <xf numFmtId="166" fontId="5" fillId="0" borderId="15" xfId="0" applyNumberFormat="1" applyFont="1" applyBorder="1" applyAlignment="1" applyProtection="1">
      <alignment horizontal="center" vertical="center"/>
      <protection hidden="1"/>
    </xf>
    <xf numFmtId="0" fontId="7" fillId="18" borderId="16" xfId="0" applyNumberFormat="1" applyFont="1" applyFill="1" applyBorder="1" applyAlignment="1" applyProtection="1">
      <alignment horizontal="center" vertical="center"/>
      <protection locked="0"/>
    </xf>
    <xf numFmtId="0" fontId="0" fillId="0" borderId="17" xfId="0" applyFont="1" applyBorder="1" applyAlignment="1" applyProtection="1">
      <alignment vertical="center"/>
      <protection hidden="1"/>
    </xf>
    <xf numFmtId="0" fontId="0" fillId="18" borderId="16" xfId="0" applyFont="1" applyFill="1" applyBorder="1" applyAlignment="1" applyProtection="1">
      <alignment horizontal="center" vertical="center"/>
      <protection locked="0"/>
    </xf>
    <xf numFmtId="0" fontId="0" fillId="18" borderId="13" xfId="0" applyFont="1" applyFill="1" applyBorder="1" applyAlignment="1" applyProtection="1">
      <alignment horizontal="center" vertical="center"/>
      <protection locked="0"/>
    </xf>
    <xf numFmtId="0" fontId="0" fillId="0" borderId="0" xfId="0" applyFont="1" applyAlignment="1" applyProtection="1">
      <alignment/>
      <protection hidden="1"/>
    </xf>
    <xf numFmtId="0" fontId="0" fillId="0" borderId="0" xfId="0" applyFont="1" applyBorder="1" applyAlignment="1" applyProtection="1">
      <alignment horizontal="left" vertical="center"/>
      <protection hidden="1"/>
    </xf>
    <xf numFmtId="0" fontId="0" fillId="18" borderId="16" xfId="0" applyFont="1" applyFill="1" applyBorder="1" applyAlignment="1" applyProtection="1">
      <alignment horizontal="center" vertical="center"/>
      <protection locked="0"/>
    </xf>
    <xf numFmtId="0" fontId="0" fillId="0" borderId="12" xfId="0" applyFont="1" applyBorder="1" applyAlignment="1" applyProtection="1">
      <alignment vertical="center"/>
      <protection hidden="1"/>
    </xf>
    <xf numFmtId="0" fontId="0" fillId="18" borderId="13" xfId="0" applyFont="1" applyFill="1" applyBorder="1" applyAlignment="1" applyProtection="1">
      <alignment horizontal="center" vertical="center"/>
      <protection locked="0"/>
    </xf>
    <xf numFmtId="0" fontId="0" fillId="0" borderId="18" xfId="0" applyFont="1" applyBorder="1" applyAlignment="1" applyProtection="1">
      <alignment horizontal="left" vertical="center"/>
      <protection hidden="1"/>
    </xf>
    <xf numFmtId="0" fontId="5" fillId="0" borderId="0" xfId="0" applyFont="1" applyAlignment="1" applyProtection="1">
      <alignment horizontal="left" vertical="center"/>
      <protection hidden="1"/>
    </xf>
    <xf numFmtId="0" fontId="0" fillId="0" borderId="18" xfId="0" applyFont="1" applyBorder="1" applyAlignment="1" applyProtection="1" quotePrefix="1">
      <alignment horizontal="left" vertical="center"/>
      <protection hidden="1"/>
    </xf>
    <xf numFmtId="0" fontId="0" fillId="0" borderId="10" xfId="0" applyFont="1" applyBorder="1" applyAlignment="1" applyProtection="1">
      <alignment vertical="center"/>
      <protection hidden="1"/>
    </xf>
    <xf numFmtId="0" fontId="0" fillId="0" borderId="18" xfId="0" applyFont="1" applyBorder="1" applyAlignment="1" applyProtection="1">
      <alignment vertical="center"/>
      <protection hidden="1"/>
    </xf>
    <xf numFmtId="0" fontId="0" fillId="0" borderId="19" xfId="0"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14" xfId="0" applyFont="1" applyBorder="1" applyAlignment="1" applyProtection="1">
      <alignment/>
      <protection hidden="1"/>
    </xf>
    <xf numFmtId="0" fontId="0" fillId="0" borderId="12" xfId="0" applyFont="1" applyBorder="1" applyAlignment="1" applyProtection="1">
      <alignment/>
      <protection hidden="1"/>
    </xf>
    <xf numFmtId="0" fontId="0" fillId="0" borderId="18" xfId="0" applyFont="1" applyBorder="1" applyAlignment="1" applyProtection="1">
      <alignment/>
      <protection hidden="1"/>
    </xf>
    <xf numFmtId="0" fontId="5" fillId="19" borderId="0" xfId="0" applyFont="1" applyFill="1" applyAlignment="1" applyProtection="1">
      <alignment vertical="center"/>
      <protection hidden="1"/>
    </xf>
    <xf numFmtId="0" fontId="0" fillId="0" borderId="20" xfId="0" applyFont="1" applyBorder="1" applyAlignment="1" applyProtection="1">
      <alignment vertical="center"/>
      <protection hidden="1"/>
    </xf>
    <xf numFmtId="0" fontId="0" fillId="0" borderId="0" xfId="0" applyFont="1" applyBorder="1" applyAlignment="1" applyProtection="1">
      <alignment horizontal="right" vertical="center"/>
      <protection hidden="1"/>
    </xf>
    <xf numFmtId="0" fontId="0" fillId="0" borderId="21" xfId="0" applyFont="1" applyBorder="1" applyAlignment="1" applyProtection="1">
      <alignment vertical="center"/>
      <protection hidden="1"/>
    </xf>
    <xf numFmtId="0" fontId="0" fillId="0" borderId="22" xfId="0" applyFont="1" applyBorder="1" applyAlignment="1" applyProtection="1">
      <alignment vertical="center"/>
      <protection hidden="1"/>
    </xf>
    <xf numFmtId="0" fontId="0" fillId="0" borderId="22" xfId="0" applyFont="1" applyBorder="1" applyAlignment="1" applyProtection="1">
      <alignment horizontal="right" vertical="center"/>
      <protection hidden="1"/>
    </xf>
    <xf numFmtId="0" fontId="16" fillId="0" borderId="17" xfId="0" applyFont="1" applyBorder="1" applyAlignment="1" applyProtection="1">
      <alignment horizontal="center"/>
      <protection hidden="1"/>
    </xf>
    <xf numFmtId="0" fontId="16" fillId="0" borderId="23" xfId="0" applyFont="1" applyBorder="1" applyAlignment="1" applyProtection="1">
      <alignment horizontal="center"/>
      <protection hidden="1"/>
    </xf>
    <xf numFmtId="0" fontId="16" fillId="0" borderId="16" xfId="0" applyFont="1" applyBorder="1" applyAlignment="1" applyProtection="1">
      <alignment horizontal="center"/>
      <protection hidden="1"/>
    </xf>
    <xf numFmtId="166" fontId="5" fillId="0" borderId="16" xfId="0" applyNumberFormat="1" applyFont="1" applyBorder="1" applyAlignment="1" applyProtection="1">
      <alignment horizontal="center" vertical="center"/>
      <protection hidden="1"/>
    </xf>
    <xf numFmtId="0" fontId="0" fillId="0" borderId="24" xfId="0" applyFont="1" applyBorder="1" applyAlignment="1" applyProtection="1">
      <alignment vertical="center"/>
      <protection hidden="1"/>
    </xf>
    <xf numFmtId="0" fontId="5" fillId="0" borderId="13" xfId="0" applyFont="1" applyBorder="1" applyAlignment="1" applyProtection="1">
      <alignment horizontal="center" vertical="center"/>
      <protection hidden="1"/>
    </xf>
    <xf numFmtId="0" fontId="0" fillId="0" borderId="25" xfId="0" applyFont="1" applyBorder="1" applyAlignment="1" applyProtection="1">
      <alignment horizontal="left"/>
      <protection hidden="1"/>
    </xf>
    <xf numFmtId="0" fontId="0" fillId="0" borderId="12" xfId="0" applyFont="1" applyBorder="1" applyAlignment="1" applyProtection="1">
      <alignment/>
      <protection hidden="1"/>
    </xf>
    <xf numFmtId="0" fontId="0" fillId="0" borderId="26" xfId="0" applyFont="1" applyBorder="1" applyAlignment="1" applyProtection="1">
      <alignment horizontal="left"/>
      <protection hidden="1"/>
    </xf>
    <xf numFmtId="0" fontId="0" fillId="0" borderId="27" xfId="0" applyFont="1" applyBorder="1" applyAlignment="1" applyProtection="1">
      <alignment horizontal="left"/>
      <protection hidden="1"/>
    </xf>
    <xf numFmtId="0" fontId="0" fillId="0" borderId="0" xfId="0" applyFont="1" applyBorder="1" applyAlignment="1" applyProtection="1">
      <alignment/>
      <protection hidden="1"/>
    </xf>
    <xf numFmtId="167" fontId="5" fillId="0" borderId="13" xfId="0" applyNumberFormat="1" applyFont="1" applyBorder="1" applyAlignment="1" applyProtection="1">
      <alignment horizontal="center" vertical="center"/>
      <protection hidden="1"/>
    </xf>
    <xf numFmtId="0" fontId="0" fillId="0" borderId="28" xfId="0" applyFont="1" applyBorder="1" applyAlignment="1" applyProtection="1">
      <alignment vertical="center"/>
      <protection hidden="1"/>
    </xf>
    <xf numFmtId="0" fontId="0" fillId="0" borderId="24" xfId="0" applyFont="1" applyBorder="1" applyAlignment="1" applyProtection="1">
      <alignment/>
      <protection hidden="1"/>
    </xf>
    <xf numFmtId="0" fontId="0" fillId="0" borderId="26" xfId="0" applyFont="1" applyBorder="1" applyAlignment="1" applyProtection="1">
      <alignment/>
      <protection hidden="1"/>
    </xf>
    <xf numFmtId="0" fontId="0" fillId="0" borderId="29" xfId="0" applyFont="1" applyBorder="1" applyAlignment="1" applyProtection="1">
      <alignment vertical="center"/>
      <protection hidden="1"/>
    </xf>
    <xf numFmtId="0" fontId="0" fillId="0" borderId="30" xfId="0" applyFont="1" applyBorder="1" applyAlignment="1" applyProtection="1">
      <alignment/>
      <protection hidden="1"/>
    </xf>
    <xf numFmtId="0" fontId="0" fillId="0" borderId="12" xfId="0" applyFont="1" applyBorder="1" applyAlignment="1" applyProtection="1">
      <alignment horizontal="center"/>
      <protection hidden="1"/>
    </xf>
    <xf numFmtId="0" fontId="0" fillId="0" borderId="18" xfId="0" applyFont="1" applyBorder="1" applyAlignment="1" applyProtection="1">
      <alignment horizontal="center"/>
      <protection hidden="1"/>
    </xf>
    <xf numFmtId="0" fontId="0" fillId="0" borderId="25" xfId="0" applyFont="1" applyBorder="1" applyAlignment="1" applyProtection="1">
      <alignment horizontal="center"/>
      <protection hidden="1"/>
    </xf>
    <xf numFmtId="0" fontId="0" fillId="0" borderId="26" xfId="0" applyFont="1" applyBorder="1" applyAlignment="1" applyProtection="1">
      <alignment horizontal="center"/>
      <protection hidden="1"/>
    </xf>
    <xf numFmtId="0" fontId="0" fillId="0" borderId="18" xfId="0" applyFont="1" applyBorder="1" applyAlignment="1" applyProtection="1" quotePrefix="1">
      <alignment horizontal="left" vertical="center"/>
      <protection hidden="1"/>
    </xf>
    <xf numFmtId="0" fontId="0" fillId="0" borderId="10" xfId="0" applyFont="1" applyBorder="1" applyAlignment="1" applyProtection="1">
      <alignment vertical="center"/>
      <protection hidden="1"/>
    </xf>
    <xf numFmtId="0" fontId="0" fillId="0" borderId="18" xfId="0" applyFont="1" applyBorder="1" applyAlignment="1" applyProtection="1">
      <alignment vertical="center"/>
      <protection hidden="1"/>
    </xf>
    <xf numFmtId="0" fontId="0" fillId="0" borderId="28" xfId="0" applyFont="1" applyBorder="1" applyAlignment="1" applyProtection="1">
      <alignment vertical="center"/>
      <protection hidden="1"/>
    </xf>
    <xf numFmtId="0" fontId="0" fillId="0" borderId="19" xfId="0" applyFont="1" applyBorder="1" applyAlignment="1" applyProtection="1">
      <alignment vertical="center"/>
      <protection hidden="1"/>
    </xf>
    <xf numFmtId="0" fontId="0" fillId="0" borderId="19" xfId="0" applyFont="1" applyBorder="1" applyAlignment="1" applyProtection="1">
      <alignment horizontal="right" vertical="center"/>
      <protection hidden="1"/>
    </xf>
    <xf numFmtId="0" fontId="0" fillId="0" borderId="22" xfId="0" applyFont="1" applyBorder="1" applyAlignment="1" applyProtection="1">
      <alignment horizontal="right" vertical="center"/>
      <protection hidden="1"/>
    </xf>
    <xf numFmtId="0" fontId="0" fillId="0" borderId="20" xfId="0"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right" vertical="center"/>
      <protection hidden="1"/>
    </xf>
    <xf numFmtId="0" fontId="6" fillId="0" borderId="0" xfId="0" applyFont="1" applyAlignment="1" applyProtection="1" quotePrefix="1">
      <alignment horizontal="center" vertical="center"/>
      <protection hidden="1"/>
    </xf>
    <xf numFmtId="0" fontId="0" fillId="0" borderId="0" xfId="0" applyFont="1" applyAlignment="1" applyProtection="1">
      <alignment vertical="center"/>
      <protection hidden="1"/>
    </xf>
    <xf numFmtId="0" fontId="15" fillId="0" borderId="0" xfId="0" applyFont="1" applyAlignment="1" applyProtection="1">
      <alignment horizontal="center" vertical="center"/>
      <protection hidden="1"/>
    </xf>
    <xf numFmtId="16" fontId="6" fillId="0" borderId="0" xfId="0" applyNumberFormat="1" applyFont="1" applyAlignment="1" applyProtection="1" quotePrefix="1">
      <alignment horizontal="center" vertical="center"/>
      <protection hidden="1"/>
    </xf>
    <xf numFmtId="0" fontId="19" fillId="0" borderId="0" xfId="0" applyFont="1" applyAlignment="1" applyProtection="1">
      <alignment vertical="center"/>
      <protection hidden="1"/>
    </xf>
    <xf numFmtId="0" fontId="20" fillId="0" borderId="0" xfId="0" applyFont="1" applyAlignment="1" applyProtection="1">
      <alignment horizontal="left" vertical="center" wrapText="1"/>
      <protection hidden="1"/>
    </xf>
    <xf numFmtId="0" fontId="9" fillId="0" borderId="0" xfId="0" applyFont="1" applyAlignment="1" applyProtection="1">
      <alignment/>
      <protection hidden="1"/>
    </xf>
    <xf numFmtId="0" fontId="0" fillId="0" borderId="14" xfId="0" applyFont="1" applyBorder="1" applyAlignment="1" applyProtection="1">
      <alignment horizontal="right"/>
      <protection hidden="1"/>
    </xf>
    <xf numFmtId="0" fontId="0" fillId="0" borderId="21" xfId="0" applyBorder="1" applyAlignment="1" applyProtection="1">
      <alignment/>
      <protection hidden="1"/>
    </xf>
    <xf numFmtId="0" fontId="0" fillId="0" borderId="22" xfId="0" applyBorder="1" applyAlignment="1" applyProtection="1">
      <alignment/>
      <protection hidden="1"/>
    </xf>
    <xf numFmtId="0" fontId="0" fillId="0" borderId="12" xfId="0" applyFont="1" applyBorder="1" applyAlignment="1" applyProtection="1">
      <alignment horizontal="right"/>
      <protection hidden="1"/>
    </xf>
    <xf numFmtId="166" fontId="5" fillId="0" borderId="12" xfId="0" applyNumberFormat="1"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0" fillId="0" borderId="0" xfId="0" applyAlignment="1" applyProtection="1">
      <alignment horizontal="lef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2" fontId="5" fillId="0" borderId="13" xfId="0" applyNumberFormat="1" applyFont="1" applyFill="1" applyBorder="1" applyAlignment="1" applyProtection="1">
      <alignment horizontal="center" vertical="center"/>
      <protection hidden="1"/>
    </xf>
    <xf numFmtId="167" fontId="5" fillId="0" borderId="15" xfId="0" applyNumberFormat="1" applyFont="1" applyFill="1" applyBorder="1" applyAlignment="1" applyProtection="1">
      <alignment horizontal="center" vertical="center"/>
      <protection hidden="1"/>
    </xf>
    <xf numFmtId="0" fontId="0" fillId="0" borderId="28" xfId="0" applyBorder="1" applyAlignment="1" applyProtection="1">
      <alignment/>
      <protection hidden="1"/>
    </xf>
    <xf numFmtId="0" fontId="0" fillId="0" borderId="19" xfId="0" applyBorder="1" applyAlignment="1" applyProtection="1">
      <alignment/>
      <protection hidden="1"/>
    </xf>
    <xf numFmtId="0" fontId="0" fillId="0" borderId="17" xfId="0" applyBorder="1" applyAlignment="1" applyProtection="1">
      <alignment/>
      <protection hidden="1"/>
    </xf>
    <xf numFmtId="0" fontId="0" fillId="0" borderId="14" xfId="0" applyBorder="1" applyAlignment="1" applyProtection="1">
      <alignment/>
      <protection hidden="1"/>
    </xf>
    <xf numFmtId="0" fontId="6" fillId="20" borderId="16" xfId="0" applyNumberFormat="1" applyFont="1" applyFill="1" applyBorder="1" applyAlignment="1" applyProtection="1">
      <alignment horizontal="center" vertical="center"/>
      <protection hidden="1"/>
    </xf>
    <xf numFmtId="0" fontId="6" fillId="20" borderId="13" xfId="0" applyNumberFormat="1" applyFont="1" applyFill="1" applyBorder="1" applyAlignment="1" applyProtection="1">
      <alignment horizontal="center" vertical="center"/>
      <protection hidden="1"/>
    </xf>
    <xf numFmtId="0" fontId="0" fillId="0" borderId="29" xfId="0" applyBorder="1" applyAlignment="1" applyProtection="1">
      <alignment/>
      <protection hidden="1"/>
    </xf>
    <xf numFmtId="0" fontId="0" fillId="0" borderId="24" xfId="0" applyBorder="1" applyAlignment="1" applyProtection="1">
      <alignment/>
      <protection hidden="1"/>
    </xf>
    <xf numFmtId="0" fontId="0" fillId="0" borderId="20" xfId="0" applyBorder="1" applyAlignment="1" applyProtection="1">
      <alignment/>
      <protection hidden="1"/>
    </xf>
    <xf numFmtId="0" fontId="0" fillId="0" borderId="0" xfId="0" applyFont="1" applyBorder="1" applyAlignment="1" applyProtection="1">
      <alignment/>
      <protection hidden="1"/>
    </xf>
    <xf numFmtId="0" fontId="0" fillId="0" borderId="10" xfId="0" applyBorder="1" applyAlignment="1" applyProtection="1">
      <alignment/>
      <protection hidden="1"/>
    </xf>
    <xf numFmtId="0" fontId="0" fillId="0" borderId="18" xfId="0" applyBorder="1" applyAlignment="1" applyProtection="1">
      <alignment/>
      <protection hidden="1"/>
    </xf>
    <xf numFmtId="0" fontId="0" fillId="0" borderId="19" xfId="0" applyFont="1" applyBorder="1" applyAlignment="1" applyProtection="1">
      <alignment/>
      <protection hidden="1"/>
    </xf>
    <xf numFmtId="0" fontId="0" fillId="0" borderId="24" xfId="0" applyFont="1" applyBorder="1" applyAlignment="1" applyProtection="1">
      <alignment/>
      <protection hidden="1"/>
    </xf>
    <xf numFmtId="0" fontId="5" fillId="19" borderId="0" xfId="0" applyFont="1" applyFill="1" applyAlignment="1" applyProtection="1">
      <alignment horizontal="left"/>
      <protection hidden="1"/>
    </xf>
    <xf numFmtId="167" fontId="18" fillId="18" borderId="10" xfId="0" applyNumberFormat="1" applyFont="1" applyFill="1" applyBorder="1" applyAlignment="1" applyProtection="1">
      <alignment horizontal="center" vertical="center"/>
      <protection locked="0"/>
    </xf>
    <xf numFmtId="167" fontId="18" fillId="18" borderId="31" xfId="0" applyNumberFormat="1" applyFont="1" applyFill="1" applyBorder="1" applyAlignment="1" applyProtection="1">
      <alignment horizontal="center" vertical="center"/>
      <protection locked="0"/>
    </xf>
    <xf numFmtId="167" fontId="18" fillId="18" borderId="15" xfId="0" applyNumberFormat="1" applyFont="1" applyFill="1" applyBorder="1" applyAlignment="1" applyProtection="1">
      <alignment horizontal="center" vertical="center"/>
      <protection locked="0"/>
    </xf>
    <xf numFmtId="0" fontId="9" fillId="0" borderId="0" xfId="0" applyFont="1" applyAlignment="1" applyProtection="1">
      <alignment vertical="center"/>
      <protection hidden="1"/>
    </xf>
    <xf numFmtId="0" fontId="37" fillId="0" borderId="0" xfId="0" applyFont="1" applyAlignment="1" applyProtection="1">
      <alignment vertical="center"/>
      <protection hidden="1"/>
    </xf>
    <xf numFmtId="0" fontId="9" fillId="0" borderId="0" xfId="46" applyFont="1" applyAlignment="1" applyProtection="1">
      <alignment vertical="center"/>
      <protection hidden="1"/>
    </xf>
    <xf numFmtId="0" fontId="9" fillId="0" borderId="0" xfId="0" applyFont="1" applyAlignment="1" applyProtection="1" quotePrefix="1">
      <alignment horizontal="left" vertical="center"/>
      <protection hidden="1"/>
    </xf>
    <xf numFmtId="0" fontId="13" fillId="0" borderId="32" xfId="0" applyFont="1" applyFill="1" applyBorder="1" applyAlignment="1" applyProtection="1">
      <alignment horizontal="left"/>
      <protection hidden="1"/>
    </xf>
    <xf numFmtId="0" fontId="0" fillId="0" borderId="33" xfId="0" applyFill="1" applyBorder="1" applyAlignment="1">
      <alignment/>
    </xf>
    <xf numFmtId="0" fontId="37" fillId="0" borderId="33" xfId="0" applyFont="1" applyFill="1" applyBorder="1" applyAlignment="1" applyProtection="1">
      <alignment vertical="center"/>
      <protection hidden="1"/>
    </xf>
    <xf numFmtId="0" fontId="9" fillId="0" borderId="33" xfId="0" applyFont="1" applyFill="1" applyBorder="1" applyAlignment="1" applyProtection="1">
      <alignment horizontal="center" vertical="top" wrapText="1"/>
      <protection hidden="1"/>
    </xf>
    <xf numFmtId="0" fontId="9" fillId="0" borderId="33" xfId="0" applyFont="1" applyFill="1" applyBorder="1" applyAlignment="1" applyProtection="1">
      <alignment horizontal="left" vertical="top" wrapText="1"/>
      <protection hidden="1"/>
    </xf>
    <xf numFmtId="0" fontId="13" fillId="0" borderId="34" xfId="0" applyFont="1" applyFill="1" applyBorder="1" applyAlignment="1" applyProtection="1">
      <alignment horizontal="right"/>
      <protection hidden="1"/>
    </xf>
    <xf numFmtId="0" fontId="13" fillId="0" borderId="35" xfId="0" applyFont="1" applyFill="1" applyBorder="1" applyAlignment="1" applyProtection="1">
      <alignment horizontal="left" vertical="center"/>
      <protection hidden="1"/>
    </xf>
    <xf numFmtId="0" fontId="0" fillId="0" borderId="36" xfId="0" applyFill="1" applyBorder="1" applyAlignment="1">
      <alignment/>
    </xf>
    <xf numFmtId="0" fontId="39" fillId="0" borderId="36" xfId="0" applyFont="1" applyFill="1" applyBorder="1" applyAlignment="1" applyProtection="1">
      <alignment vertical="center"/>
      <protection locked="0"/>
    </xf>
    <xf numFmtId="0" fontId="9" fillId="0" borderId="36" xfId="0" applyFont="1" applyFill="1" applyBorder="1" applyAlignment="1" applyProtection="1">
      <alignment horizontal="center" vertical="top" wrapText="1"/>
      <protection hidden="1"/>
    </xf>
    <xf numFmtId="0" fontId="9" fillId="0" borderId="36" xfId="0" applyFont="1" applyFill="1" applyBorder="1" applyAlignment="1" applyProtection="1">
      <alignment horizontal="left" vertical="top" wrapText="1"/>
      <protection hidden="1"/>
    </xf>
    <xf numFmtId="0" fontId="13" fillId="0" borderId="37" xfId="0" applyFont="1" applyFill="1" applyBorder="1" applyAlignment="1" applyProtection="1">
      <alignment horizontal="right" vertical="center"/>
      <protection hidden="1"/>
    </xf>
    <xf numFmtId="0" fontId="13" fillId="0" borderId="38" xfId="0" applyFont="1" applyFill="1" applyBorder="1" applyAlignment="1" applyProtection="1">
      <alignment horizontal="left" vertical="center"/>
      <protection hidden="1"/>
    </xf>
    <xf numFmtId="0" fontId="0" fillId="0" borderId="39" xfId="0" applyFill="1" applyBorder="1" applyAlignment="1">
      <alignment/>
    </xf>
    <xf numFmtId="0" fontId="39" fillId="0" borderId="39" xfId="0" applyFont="1" applyFill="1" applyBorder="1" applyAlignment="1" applyProtection="1">
      <alignment vertical="center"/>
      <protection locked="0"/>
    </xf>
    <xf numFmtId="0" fontId="9" fillId="0" borderId="39" xfId="0" applyFont="1" applyFill="1" applyBorder="1" applyAlignment="1" applyProtection="1">
      <alignment horizontal="center" vertical="top" wrapText="1"/>
      <protection hidden="1"/>
    </xf>
    <xf numFmtId="0" fontId="9" fillId="0" borderId="39" xfId="0" applyFont="1" applyFill="1" applyBorder="1" applyAlignment="1" applyProtection="1">
      <alignment horizontal="left" vertical="top" wrapText="1"/>
      <protection hidden="1"/>
    </xf>
    <xf numFmtId="0" fontId="13" fillId="0" borderId="40" xfId="0" applyFont="1" applyFill="1" applyBorder="1" applyAlignment="1" applyProtection="1">
      <alignment horizontal="right" vertical="center"/>
      <protection hidden="1"/>
    </xf>
    <xf numFmtId="0" fontId="38" fillId="0" borderId="0" xfId="0" applyFont="1" applyBorder="1" applyAlignment="1" applyProtection="1">
      <alignment horizontal="center" vertical="center" wrapText="1"/>
      <protection hidden="1"/>
    </xf>
    <xf numFmtId="0" fontId="38" fillId="0" borderId="0" xfId="0" applyFont="1" applyBorder="1" applyAlignment="1" applyProtection="1">
      <alignment vertical="center" wrapText="1"/>
      <protection hidden="1"/>
    </xf>
    <xf numFmtId="0" fontId="9" fillId="0" borderId="0" xfId="0" applyFont="1" applyBorder="1" applyAlignment="1" applyProtection="1">
      <alignment/>
      <protection hidden="1"/>
    </xf>
    <xf numFmtId="0" fontId="9" fillId="0" borderId="0" xfId="0" applyFont="1" applyBorder="1" applyAlignment="1" applyProtection="1">
      <alignment horizontal="left" vertical="center" wrapText="1"/>
      <protection hidden="1"/>
    </xf>
    <xf numFmtId="0" fontId="37" fillId="0" borderId="0" xfId="0" applyFont="1" applyBorder="1" applyAlignment="1" applyProtection="1">
      <alignment vertical="center"/>
      <protection hidden="1"/>
    </xf>
    <xf numFmtId="0" fontId="0" fillId="0" borderId="0" xfId="0" applyBorder="1" applyAlignment="1">
      <alignment vertical="center"/>
    </xf>
    <xf numFmtId="0" fontId="42" fillId="0" borderId="0" xfId="0" applyFont="1" applyBorder="1" applyAlignment="1" applyProtection="1">
      <alignment vertical="center"/>
      <protection hidden="1"/>
    </xf>
    <xf numFmtId="0" fontId="41" fillId="0" borderId="0" xfId="0" applyFont="1" applyBorder="1" applyAlignment="1" applyProtection="1">
      <alignment vertical="center" wrapText="1"/>
      <protection hidden="1"/>
    </xf>
    <xf numFmtId="0" fontId="44" fillId="0" borderId="0"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9" fillId="0" borderId="0" xfId="0" applyFont="1" applyBorder="1" applyAlignment="1" applyProtection="1">
      <alignment horizontal="center" vertical="center" wrapText="1"/>
      <protection hidden="1"/>
    </xf>
    <xf numFmtId="0" fontId="9" fillId="0" borderId="0" xfId="0" applyFont="1" applyAlignment="1" applyProtection="1">
      <alignment vertical="top"/>
      <protection hidden="1"/>
    </xf>
    <xf numFmtId="0" fontId="13" fillId="0" borderId="0" xfId="0" applyFont="1" applyAlignment="1" applyProtection="1">
      <alignment vertical="top"/>
      <protection hidden="1"/>
    </xf>
    <xf numFmtId="0" fontId="9" fillId="0" borderId="0" xfId="0" applyFont="1" applyAlignment="1" applyProtection="1">
      <alignment horizontal="justify" vertical="center"/>
      <protection hidden="1"/>
    </xf>
    <xf numFmtId="0" fontId="9" fillId="0" borderId="0" xfId="0" applyFont="1" applyAlignment="1" applyProtection="1">
      <alignment horizontal="right" vertical="center"/>
      <protection hidden="1"/>
    </xf>
    <xf numFmtId="0" fontId="45" fillId="0" borderId="0" xfId="0" applyFont="1" applyAlignment="1" applyProtection="1">
      <alignment/>
      <protection hidden="1"/>
    </xf>
    <xf numFmtId="0" fontId="41" fillId="0" borderId="0" xfId="0" applyFont="1" applyAlignment="1" applyProtection="1">
      <alignment/>
      <protection hidden="1"/>
    </xf>
    <xf numFmtId="0" fontId="39" fillId="0" borderId="0" xfId="0" applyFont="1" applyAlignment="1" applyProtection="1">
      <alignment horizontal="center" vertical="center"/>
      <protection hidden="1"/>
    </xf>
    <xf numFmtId="0" fontId="41" fillId="0" borderId="0" xfId="0" applyFont="1" applyAlignment="1" applyProtection="1">
      <alignment vertical="center" wrapText="1"/>
      <protection hidden="1"/>
    </xf>
    <xf numFmtId="0" fontId="43" fillId="0" borderId="0" xfId="0" applyFont="1" applyAlignment="1" applyProtection="1">
      <alignment vertical="center" wrapText="1"/>
      <protection hidden="1"/>
    </xf>
    <xf numFmtId="168" fontId="41" fillId="0" borderId="0" xfId="0" applyNumberFormat="1" applyFont="1" applyAlignment="1" applyProtection="1">
      <alignment horizontal="right" vertical="top" wrapText="1"/>
      <protection hidden="1"/>
    </xf>
    <xf numFmtId="168" fontId="43" fillId="0" borderId="0" xfId="0" applyNumberFormat="1" applyFont="1" applyAlignment="1" applyProtection="1">
      <alignment horizontal="right" vertical="top" wrapText="1"/>
      <protection hidden="1"/>
    </xf>
    <xf numFmtId="168" fontId="41" fillId="0" borderId="0" xfId="0" applyNumberFormat="1" applyFont="1" applyAlignment="1" applyProtection="1">
      <alignment vertical="top" wrapText="1"/>
      <protection hidden="1"/>
    </xf>
    <xf numFmtId="168" fontId="43" fillId="0" borderId="0" xfId="0" applyNumberFormat="1" applyFont="1" applyAlignment="1" applyProtection="1">
      <alignment vertical="top" wrapText="1"/>
      <protection hidden="1"/>
    </xf>
    <xf numFmtId="0" fontId="46" fillId="0" borderId="0" xfId="0" applyFont="1" applyAlignment="1" applyProtection="1">
      <alignment/>
      <protection hidden="1"/>
    </xf>
    <xf numFmtId="0" fontId="9" fillId="0" borderId="0" xfId="0" applyFont="1" applyAlignment="1" applyProtection="1">
      <alignment horizontal="right"/>
      <protection hidden="1"/>
    </xf>
    <xf numFmtId="0" fontId="5" fillId="0" borderId="0" xfId="0" applyFont="1" applyAlignment="1" applyProtection="1" quotePrefix="1">
      <alignment horizontal="left" vertical="center"/>
      <protection hidden="1"/>
    </xf>
    <xf numFmtId="0" fontId="46" fillId="0" borderId="0" xfId="0" applyFont="1" applyAlignment="1" applyProtection="1" quotePrefix="1">
      <alignment horizontal="left" vertical="center"/>
      <protection hidden="1"/>
    </xf>
    <xf numFmtId="0" fontId="0" fillId="0" borderId="0" xfId="0" applyFont="1" applyAlignment="1" applyProtection="1">
      <alignment horizontal="right" vertical="center"/>
      <protection hidden="1"/>
    </xf>
    <xf numFmtId="0" fontId="46" fillId="0" borderId="0" xfId="0" applyFont="1" applyAlignment="1" applyProtection="1" quotePrefix="1">
      <alignment horizontal="right" vertical="center"/>
      <protection hidden="1"/>
    </xf>
    <xf numFmtId="1" fontId="7" fillId="18" borderId="16" xfId="0" applyNumberFormat="1" applyFont="1" applyFill="1" applyBorder="1" applyAlignment="1" applyProtection="1">
      <alignment horizontal="center" vertical="center"/>
      <protection locked="0"/>
    </xf>
    <xf numFmtId="1" fontId="7" fillId="18" borderId="13" xfId="0" applyNumberFormat="1" applyFont="1" applyFill="1" applyBorder="1" applyAlignment="1" applyProtection="1">
      <alignment horizontal="center" vertical="center"/>
      <protection locked="0"/>
    </xf>
    <xf numFmtId="0" fontId="40" fillId="18" borderId="41" xfId="0" applyFont="1" applyFill="1" applyBorder="1" applyAlignment="1" applyProtection="1">
      <alignment horizontal="center" vertical="center"/>
      <protection locked="0"/>
    </xf>
    <xf numFmtId="0" fontId="38" fillId="0" borderId="0" xfId="0" applyFont="1" applyBorder="1" applyAlignment="1" applyProtection="1">
      <alignment horizontal="center" vertical="center" wrapText="1"/>
      <protection hidden="1"/>
    </xf>
    <xf numFmtId="0" fontId="9" fillId="0" borderId="0"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1" fillId="0" borderId="0" xfId="0" applyFont="1" applyBorder="1" applyAlignment="1" applyProtection="1">
      <alignment horizontal="left" vertical="center" wrapText="1"/>
      <protection hidden="1"/>
    </xf>
    <xf numFmtId="0" fontId="13" fillId="21" borderId="0" xfId="0" applyFont="1" applyFill="1" applyBorder="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12" fillId="19" borderId="42" xfId="0" applyFont="1" applyFill="1" applyBorder="1" applyAlignment="1" applyProtection="1">
      <alignment horizontal="center" vertical="center"/>
      <protection locked="0"/>
    </xf>
    <xf numFmtId="0" fontId="12" fillId="19" borderId="43" xfId="0" applyFont="1" applyFill="1" applyBorder="1" applyAlignment="1" applyProtection="1">
      <alignment horizontal="center" vertical="center"/>
      <protection locked="0"/>
    </xf>
    <xf numFmtId="0" fontId="12" fillId="19" borderId="44" xfId="0" applyFont="1" applyFill="1" applyBorder="1" applyAlignment="1" applyProtection="1">
      <alignment horizontal="center" vertical="center"/>
      <protection locked="0"/>
    </xf>
    <xf numFmtId="0" fontId="41" fillId="0" borderId="0" xfId="0" applyFont="1" applyAlignment="1" applyProtection="1">
      <alignment horizontal="left" vertical="center" wrapText="1"/>
      <protection hidden="1"/>
    </xf>
    <xf numFmtId="0" fontId="43"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justify" vertical="top" wrapText="1"/>
      <protection hidden="1"/>
    </xf>
    <xf numFmtId="0" fontId="6" fillId="21" borderId="19" xfId="0" applyFont="1" applyFill="1" applyBorder="1" applyAlignment="1" applyProtection="1">
      <alignment horizontal="left" vertical="center"/>
      <protection hidden="1"/>
    </xf>
    <xf numFmtId="0" fontId="6" fillId="21" borderId="0" xfId="0" applyFont="1" applyFill="1" applyAlignment="1" applyProtection="1">
      <alignment horizontal="left" vertical="center"/>
      <protection hidden="1"/>
    </xf>
    <xf numFmtId="0" fontId="5" fillId="19" borderId="0" xfId="0" applyFont="1" applyFill="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19" borderId="0" xfId="0" applyFont="1" applyFill="1" applyAlignment="1" applyProtection="1">
      <alignment horizontal="left" vertical="center" wrapText="1"/>
      <protection hidden="1"/>
    </xf>
    <xf numFmtId="0" fontId="6" fillId="19" borderId="0" xfId="0" applyFont="1" applyFill="1" applyAlignment="1" applyProtection="1">
      <alignment horizontal="left" vertical="top" wrapText="1"/>
      <protection hidden="1"/>
    </xf>
    <xf numFmtId="0" fontId="6" fillId="0" borderId="0" xfId="0" applyFont="1" applyAlignment="1" applyProtection="1">
      <alignment horizontal="left" vertical="top" wrapText="1"/>
      <protection hidden="1"/>
    </xf>
    <xf numFmtId="0" fontId="19" fillId="0" borderId="0" xfId="0" applyFont="1" applyAlignment="1" applyProtection="1">
      <alignment horizontal="center"/>
      <protection hidden="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Followed Hyperlink" xfId="40"/>
    <cellStyle name="Çıkış" xfId="41"/>
    <cellStyle name="Comma" xfId="42"/>
    <cellStyle name="Comma [0]" xfId="43"/>
    <cellStyle name="Giriş" xfId="44"/>
    <cellStyle name="Hesaplama" xfId="45"/>
    <cellStyle name="Hyperlink" xfId="46"/>
    <cellStyle name="İşaretli Hücre" xfId="47"/>
    <cellStyle name="İyi" xfId="48"/>
    <cellStyle name="Kötü" xfId="49"/>
    <cellStyle name="Not" xfId="50"/>
    <cellStyle name="Nötr" xfId="51"/>
    <cellStyle name="Percent" xfId="52"/>
    <cellStyle name="Toplam" xfId="53"/>
    <cellStyle name="Uyarı Metni" xfId="54"/>
    <cellStyle name="Vurgu1" xfId="55"/>
    <cellStyle name="Vurgu2" xfId="56"/>
    <cellStyle name="Vurgu3" xfId="57"/>
    <cellStyle name="Vurgu4" xfId="58"/>
    <cellStyle name="Vurgu5" xfId="59"/>
    <cellStyle name="Vurgu6"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3.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9.emf" /><Relationship Id="rId6" Type="http://schemas.openxmlformats.org/officeDocument/2006/relationships/image" Target="../media/image7.emf" /><Relationship Id="rId7"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0.emf" /><Relationship Id="rId4" Type="http://schemas.openxmlformats.org/officeDocument/2006/relationships/image" Target="../media/image6.emf"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uven-kutay.ch/"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vmlDrawing" Target="../drawings/vmlDrawing2.vm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vmlDrawing" Target="../drawings/vmlDrawing3.vm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43"/>
  <sheetViews>
    <sheetView showGridLines="0" showRowColHeaders="0" tabSelected="1" zoomScalePageLayoutView="0" workbookViewId="0" topLeftCell="A1">
      <selection activeCell="H10" sqref="H10:H12"/>
    </sheetView>
  </sheetViews>
  <sheetFormatPr defaultColWidth="11.421875" defaultRowHeight="15" customHeight="1"/>
  <cols>
    <col min="1" max="1" width="2.57421875" style="122" customWidth="1"/>
    <col min="2" max="8" width="9.7109375" style="122" customWidth="1"/>
    <col min="9" max="9" width="5.7109375" style="122" customWidth="1"/>
    <col min="10" max="10" width="10.7109375" style="122" customWidth="1"/>
    <col min="11" max="11" width="3.421875" style="122" customWidth="1"/>
    <col min="12" max="18" width="9.7109375" style="122" customWidth="1"/>
    <col min="19" max="19" width="3.57421875" style="122" customWidth="1"/>
    <col min="20" max="16384" width="11.421875" style="2" customWidth="1"/>
  </cols>
  <sheetData>
    <row r="1" spans="1:19" ht="18" customHeight="1">
      <c r="A1" s="121"/>
      <c r="C1" s="91"/>
      <c r="D1" s="91"/>
      <c r="E1" s="91"/>
      <c r="F1" s="91"/>
      <c r="G1" s="91"/>
      <c r="H1" s="91"/>
      <c r="I1" s="91"/>
      <c r="J1" s="91"/>
      <c r="K1" s="91"/>
      <c r="L1" s="91"/>
      <c r="M1" s="91"/>
      <c r="Q1" s="121"/>
      <c r="R1" s="121"/>
      <c r="S1" s="121"/>
    </row>
    <row r="2" spans="1:19" ht="18" customHeight="1">
      <c r="A2" s="121"/>
      <c r="B2" s="17" t="str">
        <f>IF(H10&gt;2.5," A T T E N T I O N :",IF(H10&gt;1.5,"A C H T U N G :","D İ K K A T :"))</f>
        <v>D İ K K A T :</v>
      </c>
      <c r="C2" s="91"/>
      <c r="D2" s="91"/>
      <c r="E2" s="91"/>
      <c r="F2" s="91"/>
      <c r="G2" s="91"/>
      <c r="H2" s="91"/>
      <c r="I2" s="91"/>
      <c r="J2" s="91"/>
      <c r="K2" s="91"/>
      <c r="L2" s="91"/>
      <c r="P2" s="91"/>
      <c r="Q2" s="121"/>
      <c r="R2" s="121"/>
      <c r="S2" s="121"/>
    </row>
    <row r="3" spans="1:19" ht="63.75" customHeight="1">
      <c r="A3" s="121"/>
      <c r="B3" s="180" t="str">
        <f>IF(H10&gt;2.5,B35,IF(H10&gt;1.5,B33,IF(H10&gt;0.5,B31,"")))</f>
        <v>Bu program iyi niyetle ve bu günün teknik imkanlarına göre yapılmıştır. Bu programın yalnış kullanılmasından doğacak her türlü maddi ve manevi zarar için sorumluluk kullanana aittir. Bu programı kullananlar kullandıkları yerdeki şartları iyi değerlendirip bu programın yeterli olup olmadığına karar vermeleri ve gerekirse daha detaylı hesap yapmaları önerilir. Eğer herhangi bir düzeltme, tamamlama veya bir arzunuz olursa, hiç çekinmeden bizimle temasa geçebilirsiniz. </v>
      </c>
      <c r="C3" s="180"/>
      <c r="D3" s="180"/>
      <c r="E3" s="180"/>
      <c r="F3" s="180"/>
      <c r="G3" s="180"/>
      <c r="H3" s="180"/>
      <c r="I3" s="180"/>
      <c r="J3" s="180"/>
      <c r="K3" s="180"/>
      <c r="L3" s="180"/>
      <c r="M3" s="180"/>
      <c r="N3" s="180"/>
      <c r="O3" s="180"/>
      <c r="P3" s="180"/>
      <c r="Q3" s="180"/>
      <c r="R3" s="180"/>
      <c r="S3" s="121"/>
    </row>
    <row r="4" spans="1:19" ht="18" customHeight="1">
      <c r="A4" s="91"/>
      <c r="C4" s="91"/>
      <c r="D4" s="91"/>
      <c r="E4" s="91"/>
      <c r="F4" s="91"/>
      <c r="G4" s="91"/>
      <c r="H4" s="91"/>
      <c r="I4" s="91"/>
      <c r="J4" s="91"/>
      <c r="K4" s="91"/>
      <c r="L4" s="91"/>
      <c r="M4" s="91"/>
      <c r="N4" s="91"/>
      <c r="O4" s="91"/>
      <c r="P4" s="91"/>
      <c r="Q4" s="91"/>
      <c r="R4" s="121"/>
      <c r="S4" s="121"/>
    </row>
    <row r="5" spans="1:19" ht="42" customHeight="1">
      <c r="A5" s="91"/>
      <c r="B5" s="180" t="str">
        <f>IF(H10&gt;2.5,B41,IF(H10&gt;1.5,B39,IF(H10&gt;0.5,B37,"")))</f>
        <v>Bu programdaki her bilgiyi kaynak göstermek şartıyla her yerde kullanabilirsiniz. Bu programa verilecek değerleri (mavi kareler) ya bu sitedeki bilgilerden veya literatürden almalısınız.</v>
      </c>
      <c r="C5" s="180"/>
      <c r="D5" s="180"/>
      <c r="E5" s="180"/>
      <c r="F5" s="180"/>
      <c r="G5" s="180"/>
      <c r="H5" s="180"/>
      <c r="I5" s="180"/>
      <c r="J5" s="180"/>
      <c r="K5" s="180"/>
      <c r="L5" s="180"/>
      <c r="M5" s="180"/>
      <c r="N5" s="180"/>
      <c r="O5" s="180"/>
      <c r="P5" s="180"/>
      <c r="Q5" s="180"/>
      <c r="R5" s="180"/>
      <c r="S5" s="121"/>
    </row>
    <row r="6" spans="1:19" ht="18" customHeight="1">
      <c r="A6" s="91"/>
      <c r="C6" s="91"/>
      <c r="D6" s="91"/>
      <c r="E6" s="91"/>
      <c r="F6" s="91"/>
      <c r="G6" s="91"/>
      <c r="H6" s="91"/>
      <c r="I6" s="91"/>
      <c r="J6" s="91"/>
      <c r="K6" s="91"/>
      <c r="L6" s="91"/>
      <c r="M6" s="91"/>
      <c r="N6" s="91"/>
      <c r="O6" s="91"/>
      <c r="P6" s="91"/>
      <c r="Q6" s="91"/>
      <c r="R6" s="121"/>
      <c r="S6" s="121"/>
    </row>
    <row r="7" spans="1:19" ht="18" customHeight="1">
      <c r="A7" s="91"/>
      <c r="B7" s="123" t="s">
        <v>44</v>
      </c>
      <c r="C7" s="91"/>
      <c r="D7" s="91"/>
      <c r="E7" s="91"/>
      <c r="F7" s="91"/>
      <c r="J7"/>
      <c r="K7"/>
      <c r="L7"/>
      <c r="M7"/>
      <c r="N7"/>
      <c r="O7"/>
      <c r="P7"/>
      <c r="Q7"/>
      <c r="R7"/>
      <c r="S7" s="121"/>
    </row>
    <row r="8" spans="1:19" ht="18" customHeight="1">
      <c r="A8" s="91"/>
      <c r="B8" s="181" t="s">
        <v>45</v>
      </c>
      <c r="C8" s="181"/>
      <c r="D8" s="181"/>
      <c r="E8" s="181"/>
      <c r="F8" s="91"/>
      <c r="J8"/>
      <c r="K8"/>
      <c r="L8" s="89" t="str">
        <f>IF(H10&gt;2.5,"Planetary gearing",IF(H10&gt;1.5,"Planetengetriebe ",IF(H10&gt;0.5,"Planet dişli kademesi","")))</f>
        <v>Planet dişli kademesi</v>
      </c>
      <c r="M8" s="7"/>
      <c r="N8" s="7"/>
      <c r="O8" s="7"/>
      <c r="P8"/>
      <c r="Q8"/>
      <c r="R8"/>
      <c r="S8" s="121"/>
    </row>
    <row r="9" spans="1:19" ht="18" customHeight="1" thickBot="1">
      <c r="A9" s="91"/>
      <c r="B9" s="124" t="s">
        <v>46</v>
      </c>
      <c r="C9" s="91"/>
      <c r="D9" s="121"/>
      <c r="E9" s="91"/>
      <c r="F9" s="91"/>
      <c r="J9"/>
      <c r="K9"/>
      <c r="L9" s="86"/>
      <c r="M9" s="90" t="str">
        <f>IF(H10&gt;2.5,"REGISTER-Nr.",IF($H$10&gt;1.5,"REGISTER-Nr.",IF($H$10&gt;0.5,"SAYFA NO.","")))</f>
        <v>SAYFA NO.</v>
      </c>
      <c r="N9" s="86" t="str">
        <f>IF($H$10&gt;2.5,"Table of contents",IF($H$10&gt;1.5,"INHALT",IF($H$10&gt;0.5,"içindekiler ","")))</f>
        <v>içindekiler </v>
      </c>
      <c r="O9" s="86"/>
      <c r="P9"/>
      <c r="Q9"/>
      <c r="R9"/>
      <c r="S9" s="121"/>
    </row>
    <row r="10" spans="1:19" ht="18" customHeight="1" thickTop="1">
      <c r="A10" s="91"/>
      <c r="B10" s="125" t="s">
        <v>41</v>
      </c>
      <c r="C10" s="126"/>
      <c r="D10" s="127"/>
      <c r="E10" s="128"/>
      <c r="F10" s="129"/>
      <c r="G10" s="130"/>
      <c r="H10" s="182">
        <v>1</v>
      </c>
      <c r="I10"/>
      <c r="J10"/>
      <c r="K10"/>
      <c r="L10" s="87">
        <v>0</v>
      </c>
      <c r="M10" s="85" t="s">
        <v>14</v>
      </c>
      <c r="N10" s="15" t="str">
        <f>IF(H10&gt;2.5,"Using of the program",IF(H10&gt;1.5,"Gebrauchsanweisung","Kullanma talimatı"))</f>
        <v>Kullanma talimatı</v>
      </c>
      <c r="O10" s="86"/>
      <c r="P10"/>
      <c r="Q10"/>
      <c r="R10"/>
      <c r="S10" s="121"/>
    </row>
    <row r="11" spans="1:19" ht="28.5" customHeight="1">
      <c r="A11" s="91"/>
      <c r="B11" s="131" t="s">
        <v>42</v>
      </c>
      <c r="C11" s="132"/>
      <c r="D11" s="133"/>
      <c r="E11" s="134"/>
      <c r="F11" s="135"/>
      <c r="G11" s="136"/>
      <c r="H11" s="183"/>
      <c r="I11"/>
      <c r="J11"/>
      <c r="K11"/>
      <c r="L11" s="87">
        <v>1</v>
      </c>
      <c r="M11" s="88" t="s">
        <v>13</v>
      </c>
      <c r="N11" s="15" t="str">
        <f>IF($H$10&gt;2.5,"Geometrical data I",IF($H$10&gt;1.5,"Geometrische Daten I",IF($H$10&gt;0.5,"Geometrik ölçüler I","")))</f>
        <v>Geometrik ölçüler I</v>
      </c>
      <c r="O11" s="5"/>
      <c r="R11"/>
      <c r="S11" s="91"/>
    </row>
    <row r="12" spans="1:19" ht="18" customHeight="1" thickBot="1">
      <c r="A12" s="91"/>
      <c r="B12" s="137" t="s">
        <v>43</v>
      </c>
      <c r="C12" s="138"/>
      <c r="D12" s="139"/>
      <c r="E12" s="140"/>
      <c r="F12" s="141"/>
      <c r="G12" s="142"/>
      <c r="H12" s="184"/>
      <c r="I12"/>
      <c r="J12"/>
      <c r="K12"/>
      <c r="L12" s="87">
        <v>2</v>
      </c>
      <c r="M12" s="88" t="s">
        <v>15</v>
      </c>
      <c r="N12" s="15" t="str">
        <f>IF($H$10&gt;2.5,"Geometrical data II",IF($H$10&gt;1.5,"Geometrische Daten II",IF($H$10&gt;0.5,"Geometrik ölçüler II","")))</f>
        <v>Geometrik ölçüler II</v>
      </c>
      <c r="O12" s="5"/>
      <c r="R12"/>
      <c r="S12" s="91"/>
    </row>
    <row r="13" spans="1:19" ht="18" customHeight="1" thickBot="1" thickTop="1">
      <c r="A13" s="91"/>
      <c r="B13" s="175"/>
      <c r="C13" s="175"/>
      <c r="D13" s="175"/>
      <c r="E13" s="175"/>
      <c r="F13" s="175"/>
      <c r="G13" s="175"/>
      <c r="H13" s="175"/>
      <c r="I13"/>
      <c r="J13"/>
      <c r="K13"/>
      <c r="L13" s="2"/>
      <c r="M13" s="2"/>
      <c r="N13" s="2"/>
      <c r="O13" s="2"/>
      <c r="R13"/>
      <c r="S13" s="1"/>
    </row>
    <row r="14" spans="1:19" ht="18" customHeight="1" thickTop="1">
      <c r="A14" s="91"/>
      <c r="B14" s="176" t="str">
        <f>IF(H10&gt;2.5,"Input fields (in blue) are not write-protected. ",IF(H10&gt;1.5,"Blaue Felder sind Eingabefelder, welche nicht schreibgeschützt sind. ",IF(H10&gt;0.5,"Mavi olan kareler kilitli olmayan ve yazılabilinen karelerdir","")))</f>
        <v>Mavi olan kareler kilitli olmayan ve yazılabilinen karelerdir</v>
      </c>
      <c r="C14" s="176"/>
      <c r="D14" s="176"/>
      <c r="E14" s="176"/>
      <c r="F14" s="176"/>
      <c r="G14" s="176"/>
      <c r="H14" s="176"/>
      <c r="I14" s="143"/>
      <c r="J14" s="1"/>
      <c r="K14" s="1"/>
      <c r="L14" s="1"/>
      <c r="M14" s="1"/>
      <c r="R14" s="1"/>
      <c r="S14" s="1"/>
    </row>
    <row r="15" spans="1:19" ht="18" customHeight="1">
      <c r="A15" s="91"/>
      <c r="B15" s="176"/>
      <c r="C15" s="176"/>
      <c r="D15" s="176"/>
      <c r="E15" s="176"/>
      <c r="F15" s="176"/>
      <c r="G15" s="176"/>
      <c r="H15" s="176"/>
      <c r="I15" s="143"/>
      <c r="J15" s="1"/>
      <c r="K15" s="1"/>
      <c r="L15" s="1"/>
      <c r="M15" s="1"/>
      <c r="R15" s="1"/>
      <c r="S15" s="1"/>
    </row>
    <row r="16" spans="1:19" ht="18" customHeight="1">
      <c r="A16" s="91"/>
      <c r="B16" s="144"/>
      <c r="C16" s="144"/>
      <c r="D16" s="144"/>
      <c r="G16" s="1"/>
      <c r="H16" s="1"/>
      <c r="I16" s="1"/>
      <c r="J16" s="1"/>
      <c r="K16" s="1"/>
      <c r="L16" s="1"/>
      <c r="M16" s="1"/>
      <c r="R16" s="1"/>
      <c r="S16" s="1"/>
    </row>
    <row r="17" spans="1:19" ht="18" customHeight="1">
      <c r="A17" s="91"/>
      <c r="G17" s="1"/>
      <c r="I17" s="1"/>
      <c r="J17" s="1"/>
      <c r="K17" s="1"/>
      <c r="L17" s="1"/>
      <c r="M17" s="1"/>
      <c r="N17" s="1"/>
      <c r="O17" s="1"/>
      <c r="P17" s="1"/>
      <c r="Q17" s="1"/>
      <c r="R17" s="1"/>
      <c r="S17" s="1"/>
    </row>
    <row r="18" spans="1:19" ht="18" customHeight="1">
      <c r="A18" s="91"/>
      <c r="B18" s="91"/>
      <c r="C18" s="91"/>
      <c r="D18" s="91"/>
      <c r="G18" s="1"/>
      <c r="H18" s="1"/>
      <c r="I18" s="1"/>
      <c r="J18" s="1"/>
      <c r="K18" s="1"/>
      <c r="L18" s="1"/>
      <c r="M18" s="1"/>
      <c r="N18" s="1"/>
      <c r="O18" s="1"/>
      <c r="P18" s="1"/>
      <c r="Q18" s="1"/>
      <c r="R18" s="1"/>
      <c r="S18" s="1"/>
    </row>
    <row r="19" spans="1:19" ht="18" customHeight="1">
      <c r="A19" s="91"/>
      <c r="B19" s="91"/>
      <c r="C19" s="91"/>
      <c r="D19" s="91"/>
      <c r="G19" s="1"/>
      <c r="H19" s="1"/>
      <c r="I19" s="1"/>
      <c r="J19" s="1"/>
      <c r="K19" s="1"/>
      <c r="L19" s="1"/>
      <c r="M19" s="1"/>
      <c r="N19" s="1"/>
      <c r="O19" s="1"/>
      <c r="P19" s="1"/>
      <c r="Q19" s="1"/>
      <c r="R19" s="1"/>
      <c r="S19" s="1"/>
    </row>
    <row r="20" spans="1:19" ht="18" customHeight="1">
      <c r="A20" s="91"/>
      <c r="B20" s="91"/>
      <c r="C20" s="91"/>
      <c r="D20" s="91"/>
      <c r="G20" s="1"/>
      <c r="H20" s="1"/>
      <c r="I20" s="1"/>
      <c r="J20" s="1"/>
      <c r="K20" s="1"/>
      <c r="L20" s="1"/>
      <c r="M20" s="1"/>
      <c r="N20" s="1"/>
      <c r="O20" s="1"/>
      <c r="P20" s="1"/>
      <c r="Q20" s="1"/>
      <c r="R20" s="1"/>
      <c r="S20" s="1"/>
    </row>
    <row r="21" spans="1:19" ht="18" customHeight="1">
      <c r="A21" s="91"/>
      <c r="B21" s="91"/>
      <c r="C21" s="91"/>
      <c r="D21" s="91"/>
      <c r="G21" s="1"/>
      <c r="H21" s="1"/>
      <c r="I21" s="1"/>
      <c r="J21" s="1"/>
      <c r="K21" s="1"/>
      <c r="L21" s="1"/>
      <c r="M21" s="1"/>
      <c r="N21" s="1"/>
      <c r="O21" s="1"/>
      <c r="P21" s="1"/>
      <c r="Q21" s="1"/>
      <c r="R21" s="1"/>
      <c r="S21" s="1"/>
    </row>
    <row r="22" spans="1:19" ht="18" customHeight="1">
      <c r="A22" s="91"/>
      <c r="B22" s="91"/>
      <c r="C22" s="91"/>
      <c r="D22" s="91"/>
      <c r="E22" s="91"/>
      <c r="F22" s="91"/>
      <c r="G22" s="1"/>
      <c r="H22" s="1"/>
      <c r="I22" s="1"/>
      <c r="J22" s="1"/>
      <c r="K22" s="1"/>
      <c r="L22" s="1"/>
      <c r="M22" s="1"/>
      <c r="N22" s="1"/>
      <c r="O22" s="1"/>
      <c r="P22" s="1"/>
      <c r="Q22" s="1"/>
      <c r="R22" s="1"/>
      <c r="S22" s="1"/>
    </row>
    <row r="23" spans="1:19" ht="18" customHeight="1">
      <c r="A23" s="91"/>
      <c r="B23" s="91"/>
      <c r="C23" s="91"/>
      <c r="D23" s="91"/>
      <c r="E23" s="91"/>
      <c r="F23" s="91"/>
      <c r="S23" s="121"/>
    </row>
    <row r="24" spans="1:19" ht="18" customHeight="1">
      <c r="A24" s="91"/>
      <c r="B24" s="91"/>
      <c r="C24" s="91"/>
      <c r="D24" s="91"/>
      <c r="E24" s="91"/>
      <c r="F24" s="91"/>
      <c r="S24" s="91"/>
    </row>
    <row r="25" spans="1:19" ht="18" customHeight="1">
      <c r="A25" s="91"/>
      <c r="B25" s="91"/>
      <c r="C25" s="91"/>
      <c r="D25" s="91"/>
      <c r="E25" s="91"/>
      <c r="F25" s="91"/>
      <c r="S25" s="91"/>
    </row>
    <row r="26" spans="1:19" ht="18" customHeight="1" hidden="1">
      <c r="A26" s="91"/>
      <c r="B26" s="91"/>
      <c r="C26" s="91"/>
      <c r="D26" s="91"/>
      <c r="E26" s="91"/>
      <c r="F26" s="91"/>
      <c r="O26" s="91"/>
      <c r="P26" s="91"/>
      <c r="S26" s="121"/>
    </row>
    <row r="27" spans="1:19" ht="18" customHeight="1" hidden="1">
      <c r="A27" s="91"/>
      <c r="B27" s="91"/>
      <c r="C27" s="91"/>
      <c r="D27" s="91"/>
      <c r="E27" s="91"/>
      <c r="F27" s="91"/>
      <c r="S27" s="121"/>
    </row>
    <row r="28" spans="1:19" ht="18" customHeight="1" hidden="1">
      <c r="A28" s="91"/>
      <c r="B28" s="91"/>
      <c r="C28" s="91"/>
      <c r="D28" s="91"/>
      <c r="E28" s="91"/>
      <c r="F28" s="91"/>
      <c r="S28" s="91"/>
    </row>
    <row r="29" spans="1:19" ht="18" customHeight="1" hidden="1">
      <c r="A29" s="91"/>
      <c r="B29" s="91"/>
      <c r="C29" s="91"/>
      <c r="D29" s="91"/>
      <c r="E29" s="91"/>
      <c r="F29" s="91"/>
      <c r="S29" s="91"/>
    </row>
    <row r="30" spans="1:19" ht="18" customHeight="1" hidden="1">
      <c r="A30" s="145"/>
      <c r="B30" s="145"/>
      <c r="C30" s="145"/>
      <c r="D30" s="145"/>
      <c r="E30" s="145"/>
      <c r="F30" s="145"/>
      <c r="G30" s="145"/>
      <c r="H30" s="145"/>
      <c r="I30" s="145"/>
      <c r="J30" s="145"/>
      <c r="K30" s="145"/>
      <c r="L30" s="145"/>
      <c r="M30" s="145"/>
      <c r="N30" s="145"/>
      <c r="O30" s="145"/>
      <c r="P30" s="145"/>
      <c r="Q30" s="145"/>
      <c r="R30" s="121"/>
      <c r="S30" s="121"/>
    </row>
    <row r="31" spans="1:19" ht="60.75" customHeight="1" hidden="1">
      <c r="A31" s="145"/>
      <c r="B31" s="177" t="s">
        <v>47</v>
      </c>
      <c r="C31" s="177"/>
      <c r="D31" s="177"/>
      <c r="E31" s="177"/>
      <c r="F31" s="177"/>
      <c r="G31" s="177"/>
      <c r="H31" s="177"/>
      <c r="I31" s="177"/>
      <c r="J31" s="177"/>
      <c r="K31" s="177"/>
      <c r="L31" s="177"/>
      <c r="M31" s="177"/>
      <c r="N31" s="177"/>
      <c r="O31" s="177"/>
      <c r="P31" s="177"/>
      <c r="Q31" s="147" t="s">
        <v>0</v>
      </c>
      <c r="R31" s="121"/>
      <c r="S31" s="121"/>
    </row>
    <row r="32" spans="1:19" ht="18" customHeight="1" hidden="1">
      <c r="A32" s="145"/>
      <c r="B32" s="148"/>
      <c r="C32" s="148"/>
      <c r="D32" s="148"/>
      <c r="E32" s="148"/>
      <c r="F32" s="148"/>
      <c r="G32" s="148"/>
      <c r="H32" s="148"/>
      <c r="I32" s="148"/>
      <c r="J32" s="148"/>
      <c r="K32" s="148"/>
      <c r="L32" s="148"/>
      <c r="M32" s="148"/>
      <c r="N32" s="148"/>
      <c r="O32" s="148"/>
      <c r="P32" s="148"/>
      <c r="Q32" s="145"/>
      <c r="R32" s="121"/>
      <c r="S32" s="121"/>
    </row>
    <row r="33" spans="1:19" ht="59.25" customHeight="1" hidden="1">
      <c r="A33" s="145"/>
      <c r="B33" s="179" t="s">
        <v>48</v>
      </c>
      <c r="C33" s="179"/>
      <c r="D33" s="179"/>
      <c r="E33" s="179"/>
      <c r="F33" s="179"/>
      <c r="G33" s="179"/>
      <c r="H33" s="179"/>
      <c r="I33" s="179"/>
      <c r="J33" s="179"/>
      <c r="K33" s="179"/>
      <c r="L33" s="179"/>
      <c r="M33" s="179"/>
      <c r="N33" s="179"/>
      <c r="O33" s="179"/>
      <c r="P33" s="179"/>
      <c r="Q33" s="149" t="s">
        <v>49</v>
      </c>
      <c r="R33" s="121"/>
      <c r="S33" s="121"/>
    </row>
    <row r="34" spans="1:19" ht="13.5" customHeight="1" hidden="1">
      <c r="A34" s="145"/>
      <c r="B34" s="150"/>
      <c r="C34" s="150"/>
      <c r="D34" s="150"/>
      <c r="E34" s="150"/>
      <c r="F34" s="150"/>
      <c r="G34" s="150"/>
      <c r="H34" s="150"/>
      <c r="I34" s="150"/>
      <c r="J34" s="150"/>
      <c r="K34" s="150"/>
      <c r="L34" s="150"/>
      <c r="M34" s="150"/>
      <c r="N34" s="150"/>
      <c r="O34" s="150"/>
      <c r="P34" s="150"/>
      <c r="Q34" s="149"/>
      <c r="R34" s="121"/>
      <c r="S34" s="121"/>
    </row>
    <row r="35" spans="1:19" ht="57.75" customHeight="1" hidden="1">
      <c r="A35" s="145"/>
      <c r="B35" s="178" t="s">
        <v>50</v>
      </c>
      <c r="C35" s="178"/>
      <c r="D35" s="178"/>
      <c r="E35" s="178"/>
      <c r="F35" s="178"/>
      <c r="G35" s="178"/>
      <c r="H35" s="178"/>
      <c r="I35" s="178"/>
      <c r="J35" s="178"/>
      <c r="K35" s="178"/>
      <c r="L35" s="178"/>
      <c r="M35" s="178"/>
      <c r="N35" s="178"/>
      <c r="O35" s="178"/>
      <c r="P35" s="178"/>
      <c r="Q35" s="151" t="s">
        <v>51</v>
      </c>
      <c r="R35" s="121"/>
      <c r="S35" s="121"/>
    </row>
    <row r="36" spans="1:19" ht="13.5" customHeight="1" hidden="1">
      <c r="A36" s="145"/>
      <c r="B36" s="152"/>
      <c r="C36" s="152"/>
      <c r="D36" s="152"/>
      <c r="E36" s="152"/>
      <c r="F36" s="152"/>
      <c r="G36" s="152"/>
      <c r="H36" s="152"/>
      <c r="I36" s="152"/>
      <c r="J36" s="152"/>
      <c r="K36" s="152"/>
      <c r="L36" s="152"/>
      <c r="M36" s="152"/>
      <c r="N36" s="152"/>
      <c r="O36" s="152"/>
      <c r="P36" s="152"/>
      <c r="Q36" s="151"/>
      <c r="R36" s="121"/>
      <c r="S36" s="121"/>
    </row>
    <row r="37" spans="1:17" ht="33" customHeight="1" hidden="1">
      <c r="A37" s="147"/>
      <c r="B37" s="177" t="s">
        <v>52</v>
      </c>
      <c r="C37" s="177"/>
      <c r="D37" s="177"/>
      <c r="E37" s="177"/>
      <c r="F37" s="177"/>
      <c r="G37" s="177"/>
      <c r="H37" s="177"/>
      <c r="I37" s="177"/>
      <c r="J37" s="177"/>
      <c r="K37" s="177"/>
      <c r="L37" s="177"/>
      <c r="M37" s="177"/>
      <c r="N37" s="177"/>
      <c r="O37" s="177"/>
      <c r="P37" s="177"/>
      <c r="Q37" s="147" t="s">
        <v>0</v>
      </c>
    </row>
    <row r="38" spans="1:17" ht="13.5" customHeight="1" hidden="1">
      <c r="A38" s="147"/>
      <c r="B38" s="147"/>
      <c r="C38" s="147"/>
      <c r="D38" s="147"/>
      <c r="E38" s="147"/>
      <c r="F38" s="147"/>
      <c r="G38" s="147"/>
      <c r="H38" s="147"/>
      <c r="I38" s="147"/>
      <c r="J38" s="147"/>
      <c r="K38" s="147"/>
      <c r="L38" s="147"/>
      <c r="M38" s="147"/>
      <c r="N38" s="147"/>
      <c r="O38" s="147"/>
      <c r="P38" s="147"/>
      <c r="Q38" s="147"/>
    </row>
    <row r="39" spans="1:17" ht="34.5" customHeight="1" hidden="1">
      <c r="A39" s="147"/>
      <c r="B39" s="179" t="s">
        <v>53</v>
      </c>
      <c r="C39" s="179"/>
      <c r="D39" s="179"/>
      <c r="E39" s="179"/>
      <c r="F39" s="179"/>
      <c r="G39" s="179"/>
      <c r="H39" s="179"/>
      <c r="I39" s="179"/>
      <c r="J39" s="179"/>
      <c r="K39" s="179"/>
      <c r="L39" s="179"/>
      <c r="M39" s="179"/>
      <c r="N39" s="179"/>
      <c r="O39" s="179"/>
      <c r="P39" s="179"/>
      <c r="Q39" s="149" t="s">
        <v>49</v>
      </c>
    </row>
    <row r="40" spans="1:17" ht="13.5" customHeight="1" hidden="1">
      <c r="A40" s="147"/>
      <c r="B40" s="147"/>
      <c r="C40" s="147"/>
      <c r="D40" s="147"/>
      <c r="E40" s="147"/>
      <c r="F40" s="147"/>
      <c r="G40" s="147"/>
      <c r="H40" s="147"/>
      <c r="I40" s="147"/>
      <c r="J40" s="147"/>
      <c r="K40" s="147"/>
      <c r="L40" s="147"/>
      <c r="M40" s="147"/>
      <c r="N40" s="147"/>
      <c r="O40" s="147"/>
      <c r="P40" s="147"/>
      <c r="Q40" s="147"/>
    </row>
    <row r="41" spans="1:17" ht="44.25" customHeight="1" hidden="1">
      <c r="A41" s="147"/>
      <c r="B41" s="178" t="s">
        <v>54</v>
      </c>
      <c r="C41" s="178"/>
      <c r="D41" s="178"/>
      <c r="E41" s="178"/>
      <c r="F41" s="178"/>
      <c r="G41" s="178"/>
      <c r="H41" s="178"/>
      <c r="I41" s="178"/>
      <c r="J41" s="178"/>
      <c r="K41" s="178"/>
      <c r="L41" s="178"/>
      <c r="M41" s="178"/>
      <c r="N41" s="178"/>
      <c r="O41" s="178"/>
      <c r="P41" s="178"/>
      <c r="Q41" s="151" t="s">
        <v>51</v>
      </c>
    </row>
    <row r="42" spans="1:17" ht="13.5" customHeight="1" hidden="1">
      <c r="A42" s="147"/>
      <c r="B42" s="146"/>
      <c r="C42" s="146"/>
      <c r="D42" s="146"/>
      <c r="E42" s="146"/>
      <c r="F42" s="146"/>
      <c r="G42" s="146"/>
      <c r="H42" s="146"/>
      <c r="I42" s="146"/>
      <c r="J42" s="146"/>
      <c r="K42" s="146"/>
      <c r="L42" s="146"/>
      <c r="M42" s="146"/>
      <c r="N42" s="146"/>
      <c r="O42" s="146"/>
      <c r="P42" s="146"/>
      <c r="Q42" s="147"/>
    </row>
    <row r="43" spans="2:16" ht="13.5" customHeight="1" hidden="1">
      <c r="B43" s="153"/>
      <c r="C43" s="153"/>
      <c r="D43" s="153"/>
      <c r="E43" s="153"/>
      <c r="F43" s="153"/>
      <c r="G43" s="153"/>
      <c r="H43" s="153"/>
      <c r="I43" s="153"/>
      <c r="J43" s="153"/>
      <c r="K43" s="153"/>
      <c r="L43" s="153"/>
      <c r="M43" s="153"/>
      <c r="N43" s="153"/>
      <c r="O43" s="153"/>
      <c r="P43" s="153"/>
    </row>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sheetProtection password="EF77" sheet="1" objects="1" scenarios="1"/>
  <mergeCells count="12">
    <mergeCell ref="B3:R3"/>
    <mergeCell ref="B5:R5"/>
    <mergeCell ref="B8:E8"/>
    <mergeCell ref="H10:H12"/>
    <mergeCell ref="B13:H13"/>
    <mergeCell ref="B14:H15"/>
    <mergeCell ref="B31:P31"/>
    <mergeCell ref="B41:P41"/>
    <mergeCell ref="B33:P33"/>
    <mergeCell ref="B35:P35"/>
    <mergeCell ref="B37:P37"/>
    <mergeCell ref="B39:P39"/>
  </mergeCells>
  <hyperlinks>
    <hyperlink ref="B7" r:id="rId1" display="www.guven-kutay.ch"/>
  </hyperlink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83" r:id="rId4"/>
  <headerFooter alignWithMargins="0">
    <oddFooter>&amp;L&amp;F / &amp;A / &amp;D&amp;R Seite &amp;P von &amp;N</oddFooter>
  </headerFooter>
  <ignoredErrors>
    <ignoredError sqref="M10:M12" numberStoredAsText="1"/>
  </ignoredErrors>
  <legacyDrawing r:id="rId3"/>
  <oleObjects>
    <oleObject progId="AutoCAD.Drawing.15" shapeId="1448582" r:id="rId2"/>
  </oleObjects>
</worksheet>
</file>

<file path=xl/worksheets/sheet2.xml><?xml version="1.0" encoding="utf-8"?>
<worksheet xmlns="http://schemas.openxmlformats.org/spreadsheetml/2006/main" xmlns:r="http://schemas.openxmlformats.org/officeDocument/2006/relationships">
  <dimension ref="A1:Q62"/>
  <sheetViews>
    <sheetView showGridLines="0" showRowColHeaders="0" zoomScalePageLayoutView="0" workbookViewId="0" topLeftCell="A1">
      <selection activeCell="F20" sqref="F20"/>
    </sheetView>
  </sheetViews>
  <sheetFormatPr defaultColWidth="11.421875" defaultRowHeight="12.75"/>
  <cols>
    <col min="1" max="1" width="4.7109375" style="154" customWidth="1"/>
    <col min="2" max="2" width="4.7109375" style="91" customWidth="1"/>
    <col min="3" max="3" width="11.7109375" style="16" customWidth="1"/>
    <col min="4" max="14" width="11.7109375" style="91" customWidth="1"/>
    <col min="15" max="15" width="4.7109375" style="91" customWidth="1"/>
    <col min="16" max="17" width="11.421875" style="91" customWidth="1"/>
  </cols>
  <sheetData>
    <row r="1" spans="3:13" ht="15">
      <c r="C1" s="167" t="str">
        <f>Info!B7</f>
        <v>www.guven-kutay.ch</v>
      </c>
      <c r="M1" s="168" t="str">
        <f>Info!B9</f>
        <v>Copyright : M. G. Kutay , Ver 10.01</v>
      </c>
    </row>
    <row r="2" ht="15" customHeight="1"/>
    <row r="3" ht="15" customHeight="1">
      <c r="A3" s="155" t="str">
        <f>IF(F25&gt;2.5,C28,IF(F25&gt;1.5,C27,C26))</f>
        <v>Programın kullanılması:</v>
      </c>
    </row>
    <row r="4" ht="15" customHeight="1">
      <c r="A4" s="155"/>
    </row>
    <row r="5" spans="1:14" ht="39" customHeight="1">
      <c r="A5" s="18">
        <v>1</v>
      </c>
      <c r="C5" s="181" t="str">
        <f>IF(F25&gt;2.5,C32,IF(F25&gt;1.5,C31,C30))</f>
        <v>Bu programı bilgisayarınızda kendinize göre bir yere kopyasını çıkarınız. Hesap yapacağınız zaman bilgisayardaki programı kullanınız.</v>
      </c>
      <c r="D5" s="181"/>
      <c r="E5" s="181"/>
      <c r="F5" s="181"/>
      <c r="G5" s="181"/>
      <c r="H5" s="181"/>
      <c r="I5" s="181"/>
      <c r="J5" s="181"/>
      <c r="K5" s="181"/>
      <c r="L5" s="181"/>
      <c r="M5" s="181"/>
      <c r="N5" s="181"/>
    </row>
    <row r="6" ht="15" customHeight="1"/>
    <row r="7" spans="1:14" ht="36.75" customHeight="1">
      <c r="A7" s="18">
        <f>A5+1</f>
        <v>2</v>
      </c>
      <c r="C7" s="181" t="str">
        <f>IF(F25&gt;2.5,C36,IF(F25&gt;1.5,C35,C34))</f>
        <v>Kullanacağınız sayfaya gelince, hesaplamaya başlamadan önce, bütün mavi karelerdeki değerleri siliniz. Böylece dikkatsizlik yanlışı yapma imkanını ortadan kaldırmış olursunuz.</v>
      </c>
      <c r="D7" s="181"/>
      <c r="E7" s="181"/>
      <c r="F7" s="181"/>
      <c r="G7" s="181"/>
      <c r="H7" s="181"/>
      <c r="I7" s="181"/>
      <c r="J7" s="181"/>
      <c r="K7" s="181"/>
      <c r="L7" s="181"/>
      <c r="M7" s="181"/>
      <c r="N7" s="181"/>
    </row>
    <row r="8" spans="4:14" ht="15" customHeight="1">
      <c r="D8" s="156"/>
      <c r="E8" s="156"/>
      <c r="F8" s="156"/>
      <c r="G8" s="156"/>
      <c r="H8" s="156"/>
      <c r="I8" s="156"/>
      <c r="J8" s="156"/>
      <c r="K8" s="156"/>
      <c r="L8" s="156"/>
      <c r="M8" s="156"/>
      <c r="N8" s="156"/>
    </row>
    <row r="9" spans="1:14" ht="30" customHeight="1">
      <c r="A9" s="18">
        <f>A7+1</f>
        <v>3</v>
      </c>
      <c r="C9" s="181" t="str">
        <f>IF(F25&gt;2.5,C40,IF(F25&gt;1.5,C39,C38))</f>
        <v>Sıra ile mavi karelere yapacağınız hesaba ait değerleri dikkatlice yerleştiriniz. Hesaplamalarınız için gerekli olmayan mavi karelere değerler yerleştirmek yanlış hesap sonuçlarına sebep olabilir. Dikkatli olmak gereklidir.</v>
      </c>
      <c r="D9" s="181"/>
      <c r="E9" s="181"/>
      <c r="F9" s="181"/>
      <c r="G9" s="181"/>
      <c r="H9" s="181"/>
      <c r="I9" s="181"/>
      <c r="J9" s="181"/>
      <c r="K9" s="181"/>
      <c r="L9" s="181"/>
      <c r="M9" s="181"/>
      <c r="N9" s="181"/>
    </row>
    <row r="10" spans="1:14" ht="15" customHeight="1">
      <c r="A10" s="18"/>
      <c r="D10" s="156"/>
      <c r="E10" s="156"/>
      <c r="F10" s="156"/>
      <c r="G10" s="156"/>
      <c r="H10" s="156"/>
      <c r="I10" s="156"/>
      <c r="J10" s="156"/>
      <c r="K10" s="156"/>
      <c r="L10" s="156"/>
      <c r="M10" s="156"/>
      <c r="N10" s="156"/>
    </row>
    <row r="11" spans="1:14" ht="31.5" customHeight="1">
      <c r="A11" s="18">
        <f>A9+1</f>
        <v>4</v>
      </c>
      <c r="C11" s="188" t="str">
        <f>IF(F25&gt;2.5,C44,IF(F25&gt;1.5,C43,C42))</f>
        <v>Bazı mavi karelerin önünde o kareye konulması gereken değerin hesabı vardır. Bilgisayar teoriye göre bu değeri hesaplar. Konstrüktör hesabı yaptığı konstruksiyonun şekline ve şartlarına göre  bilgisayarın önerisini ya kabul eder ve önerilen bu değeri kullanır veya değiştirir.</v>
      </c>
      <c r="D11" s="188"/>
      <c r="E11" s="188"/>
      <c r="F11" s="188"/>
      <c r="G11" s="188"/>
      <c r="H11" s="188"/>
      <c r="I11" s="188"/>
      <c r="J11" s="188"/>
      <c r="K11" s="188"/>
      <c r="L11" s="188"/>
      <c r="M11" s="188"/>
      <c r="N11" s="188"/>
    </row>
    <row r="12" spans="4:14" ht="15" customHeight="1">
      <c r="D12" s="156"/>
      <c r="E12" s="156"/>
      <c r="F12" s="156"/>
      <c r="G12" s="156"/>
      <c r="H12" s="156"/>
      <c r="I12" s="156"/>
      <c r="J12" s="156"/>
      <c r="K12" s="156"/>
      <c r="L12" s="156"/>
      <c r="M12" s="156"/>
      <c r="N12" s="156"/>
    </row>
    <row r="13" spans="1:14" ht="32.25" customHeight="1">
      <c r="A13" s="18">
        <f>A11+1</f>
        <v>5</v>
      </c>
      <c r="C13" s="188" t="str">
        <f>IF(F25&gt;2.5,C48,IF(F25&gt;1.5,C47,C46))</f>
        <v>Çoğu mavi karenin çevresinde değerlerin nereden alınması gerektiğini gösteren bilgi bulunmaktadır. Bu gösterilere uyulması hesapların doğruluğu açısından çok önemlidir.</v>
      </c>
      <c r="D13" s="188"/>
      <c r="E13" s="188"/>
      <c r="F13" s="188"/>
      <c r="G13" s="188"/>
      <c r="H13" s="188"/>
      <c r="I13" s="188"/>
      <c r="J13" s="188"/>
      <c r="K13" s="188"/>
      <c r="L13" s="188"/>
      <c r="M13" s="188"/>
      <c r="N13" s="188"/>
    </row>
    <row r="14" spans="4:14" ht="15" customHeight="1">
      <c r="D14" s="156"/>
      <c r="E14" s="156"/>
      <c r="F14" s="156"/>
      <c r="G14" s="156"/>
      <c r="H14" s="156"/>
      <c r="I14" s="156"/>
      <c r="J14" s="156"/>
      <c r="K14" s="156"/>
      <c r="L14" s="156"/>
      <c r="M14" s="156"/>
      <c r="N14" s="156"/>
    </row>
    <row r="15" spans="1:14" ht="27" customHeight="1">
      <c r="A15" s="18">
        <f>A13+1</f>
        <v>6</v>
      </c>
      <c r="C15" s="188" t="str">
        <f>IF(F25&gt;2.5,C52,IF(F25&gt;1.5,C51,C50))</f>
        <v>İnanılır hesapların yapılabilinmesi için konu hakkında gereken teoriyi önceden öğrenmek avantajdır.</v>
      </c>
      <c r="D15" s="188"/>
      <c r="E15" s="188"/>
      <c r="F15" s="188"/>
      <c r="G15" s="188"/>
      <c r="H15" s="188"/>
      <c r="I15" s="188"/>
      <c r="J15" s="188"/>
      <c r="K15" s="188"/>
      <c r="L15" s="188"/>
      <c r="M15" s="188"/>
      <c r="N15" s="188"/>
    </row>
    <row r="16" spans="4:14" ht="15" customHeight="1">
      <c r="D16" s="156"/>
      <c r="E16" s="156"/>
      <c r="F16" s="156"/>
      <c r="G16" s="156"/>
      <c r="H16" s="156"/>
      <c r="I16" s="156"/>
      <c r="J16" s="156"/>
      <c r="K16" s="156"/>
      <c r="L16" s="156"/>
      <c r="M16" s="156"/>
      <c r="N16" s="156"/>
    </row>
    <row r="17" spans="1:14" ht="63.75" customHeight="1">
      <c r="A17" s="18">
        <f>A15+1</f>
        <v>7</v>
      </c>
      <c r="C17" s="188" t="str">
        <f>IF(F25&gt;2.5,C56,IF(F25&gt;1.5,C55,C54))</f>
        <v>Genel olarak her hesap sayfasının sağ alt köşesinde program sonuçları bilgisayar tarafından değerlendirilir. Bu mekanik bir değerlendirmedir. Konstruktör bu sonuçları kendi sağ duyusu ile değerlendirmelidir. Bazan bilgisayar sonuçların yeterli olduğunu, bazanda yeterli olmadığını önerir. Bu iki haldede kararı konstrüktörün kendisinin vermesi gerekmektedir. Bilgisayar yalnız öneride bulunur kararı hep hesabı yapan konstrüktör verir ve sorumluluk hep kararı veren konstrüktöre aittir. Bilgisayar bir hukuki şahıs değildir.</v>
      </c>
      <c r="D17" s="188"/>
      <c r="E17" s="188"/>
      <c r="F17" s="188"/>
      <c r="G17" s="188"/>
      <c r="H17" s="188"/>
      <c r="I17" s="188"/>
      <c r="J17" s="188"/>
      <c r="K17" s="188"/>
      <c r="L17" s="188"/>
      <c r="M17" s="188"/>
      <c r="N17" s="188"/>
    </row>
    <row r="18" ht="15" customHeight="1"/>
    <row r="19" spans="1:14" ht="30" customHeight="1">
      <c r="A19" s="18">
        <f>A17+1</f>
        <v>8</v>
      </c>
      <c r="C19" s="181" t="str">
        <f>IF(F25&gt;2.5,C60,IF(F25&gt;1.5,C59,C58))</f>
        <v>Eğer hesaplamalarında özel bir konstruksiyonun hesabı gerekiyorsa veya öğrenmek istediğiniz bir şey varsa, hiç çekinmeden bizimle temasa geçebilirsiniz. Bilgimizin yettiği kadar size memnuniyetle yardım ederiz.</v>
      </c>
      <c r="D19" s="181"/>
      <c r="E19" s="181"/>
      <c r="F19" s="181"/>
      <c r="G19" s="181"/>
      <c r="H19" s="181"/>
      <c r="I19" s="181"/>
      <c r="J19" s="181"/>
      <c r="K19" s="181"/>
      <c r="L19" s="181"/>
      <c r="M19" s="181"/>
      <c r="N19" s="181"/>
    </row>
    <row r="20" ht="15" customHeight="1"/>
    <row r="21" spans="3:9" ht="15" customHeight="1">
      <c r="C21" s="157"/>
      <c r="D21" s="158"/>
      <c r="E21" s="159"/>
      <c r="F21" s="159"/>
      <c r="I21" s="158"/>
    </row>
    <row r="22" ht="15" customHeight="1" hidden="1"/>
    <row r="23" ht="15" customHeight="1" hidden="1"/>
    <row r="24" ht="39.75" customHeight="1" hidden="1"/>
    <row r="25" ht="39.75" customHeight="1" hidden="1">
      <c r="F25" s="160">
        <f>Info!H10</f>
        <v>1</v>
      </c>
    </row>
    <row r="26" spans="1:14" ht="15" customHeight="1" hidden="1">
      <c r="A26" s="121" t="s">
        <v>0</v>
      </c>
      <c r="C26" s="16" t="s">
        <v>55</v>
      </c>
      <c r="D26" s="16"/>
      <c r="E26" s="16"/>
      <c r="G26" s="16"/>
      <c r="H26" s="16"/>
      <c r="I26" s="16"/>
      <c r="J26" s="16"/>
      <c r="K26" s="16"/>
      <c r="L26" s="16"/>
      <c r="M26" s="16"/>
      <c r="N26" s="16"/>
    </row>
    <row r="27" spans="1:14" ht="39.75" customHeight="1" hidden="1">
      <c r="A27" s="161" t="s">
        <v>1</v>
      </c>
      <c r="B27" s="161"/>
      <c r="C27" s="185" t="s">
        <v>56</v>
      </c>
      <c r="D27" s="185"/>
      <c r="E27" s="185"/>
      <c r="F27" s="185"/>
      <c r="G27" s="185"/>
      <c r="H27" s="185"/>
      <c r="I27" s="185"/>
      <c r="J27" s="185"/>
      <c r="K27" s="185"/>
      <c r="L27" s="185"/>
      <c r="M27" s="185"/>
      <c r="N27" s="16"/>
    </row>
    <row r="28" spans="1:14" ht="60" customHeight="1" hidden="1">
      <c r="A28" s="162" t="s">
        <v>2</v>
      </c>
      <c r="B28" s="162"/>
      <c r="C28" s="186" t="s">
        <v>57</v>
      </c>
      <c r="D28" s="186"/>
      <c r="E28" s="186"/>
      <c r="F28" s="186"/>
      <c r="G28" s="186"/>
      <c r="H28" s="186"/>
      <c r="I28" s="186"/>
      <c r="J28" s="186"/>
      <c r="K28" s="186"/>
      <c r="L28" s="186"/>
      <c r="M28" s="186"/>
      <c r="N28" s="16"/>
    </row>
    <row r="29" spans="2:14" ht="60" customHeight="1" hidden="1">
      <c r="B29" s="16"/>
      <c r="D29" s="16"/>
      <c r="E29" s="16"/>
      <c r="F29" s="160"/>
      <c r="G29" s="16"/>
      <c r="H29" s="16"/>
      <c r="I29" s="16"/>
      <c r="J29" s="16"/>
      <c r="K29" s="16"/>
      <c r="L29" s="16"/>
      <c r="M29" s="16"/>
      <c r="N29" s="16"/>
    </row>
    <row r="30" spans="1:17" ht="60" customHeight="1" hidden="1">
      <c r="A30" s="24">
        <v>1</v>
      </c>
      <c r="B30" s="23"/>
      <c r="C30" s="187" t="s">
        <v>58</v>
      </c>
      <c r="D30" s="187"/>
      <c r="E30" s="187"/>
      <c r="F30" s="187"/>
      <c r="G30" s="187"/>
      <c r="H30" s="187"/>
      <c r="I30" s="187"/>
      <c r="J30" s="187"/>
      <c r="K30" s="187"/>
      <c r="L30" s="187"/>
      <c r="M30" s="187"/>
      <c r="N30" s="187"/>
      <c r="O30" s="22"/>
      <c r="P30" s="22"/>
      <c r="Q30" s="22"/>
    </row>
    <row r="31" spans="1:17" ht="60" customHeight="1" hidden="1">
      <c r="A31" s="163">
        <v>1</v>
      </c>
      <c r="B31" s="161"/>
      <c r="C31" s="185" t="s">
        <v>59</v>
      </c>
      <c r="D31" s="185"/>
      <c r="E31" s="185"/>
      <c r="F31" s="185"/>
      <c r="G31" s="185"/>
      <c r="H31" s="185"/>
      <c r="I31" s="185"/>
      <c r="J31" s="185"/>
      <c r="K31" s="185"/>
      <c r="L31" s="185"/>
      <c r="M31" s="185"/>
      <c r="N31" s="185"/>
      <c r="O31" s="22"/>
      <c r="P31" s="22"/>
      <c r="Q31" s="22"/>
    </row>
    <row r="32" spans="1:17" ht="60" customHeight="1" hidden="1">
      <c r="A32" s="164">
        <v>1</v>
      </c>
      <c r="B32" s="162"/>
      <c r="C32" s="186" t="s">
        <v>60</v>
      </c>
      <c r="D32" s="186"/>
      <c r="E32" s="186"/>
      <c r="F32" s="186"/>
      <c r="G32" s="186"/>
      <c r="H32" s="186"/>
      <c r="I32" s="186"/>
      <c r="J32" s="186"/>
      <c r="K32" s="186"/>
      <c r="L32" s="186"/>
      <c r="M32" s="186"/>
      <c r="N32" s="186"/>
      <c r="O32" s="22"/>
      <c r="P32" s="22"/>
      <c r="Q32" s="22"/>
    </row>
    <row r="33" spans="1:17" ht="60" customHeight="1" hidden="1">
      <c r="A33" s="24"/>
      <c r="B33" s="23"/>
      <c r="C33" s="23"/>
      <c r="D33" s="23"/>
      <c r="E33" s="23"/>
      <c r="F33" s="23"/>
      <c r="G33" s="23"/>
      <c r="H33" s="23"/>
      <c r="I33" s="23"/>
      <c r="J33" s="23"/>
      <c r="K33" s="23"/>
      <c r="L33" s="23"/>
      <c r="M33" s="23"/>
      <c r="N33" s="23"/>
      <c r="O33" s="22"/>
      <c r="P33" s="22"/>
      <c r="Q33" s="22"/>
    </row>
    <row r="34" spans="1:17" ht="60" customHeight="1" hidden="1">
      <c r="A34" s="24">
        <f>A30+1</f>
        <v>2</v>
      </c>
      <c r="B34" s="22"/>
      <c r="C34" s="187" t="s">
        <v>3</v>
      </c>
      <c r="D34" s="187"/>
      <c r="E34" s="187"/>
      <c r="F34" s="187"/>
      <c r="G34" s="187"/>
      <c r="H34" s="187"/>
      <c r="I34" s="187"/>
      <c r="J34" s="187"/>
      <c r="K34" s="187"/>
      <c r="L34" s="187"/>
      <c r="M34" s="187"/>
      <c r="N34" s="187"/>
      <c r="O34" s="22"/>
      <c r="P34" s="22"/>
      <c r="Q34" s="22"/>
    </row>
    <row r="35" spans="1:17" ht="60" customHeight="1" hidden="1">
      <c r="A35" s="163">
        <f>A31+1</f>
        <v>2</v>
      </c>
      <c r="B35" s="161"/>
      <c r="C35" s="185" t="s">
        <v>7</v>
      </c>
      <c r="D35" s="185"/>
      <c r="E35" s="185"/>
      <c r="F35" s="185"/>
      <c r="G35" s="185"/>
      <c r="H35" s="185"/>
      <c r="I35" s="185"/>
      <c r="J35" s="185"/>
      <c r="K35" s="185"/>
      <c r="L35" s="185"/>
      <c r="M35" s="185"/>
      <c r="N35" s="185"/>
      <c r="O35" s="22"/>
      <c r="P35" s="22"/>
      <c r="Q35" s="22"/>
    </row>
    <row r="36" spans="1:17" ht="60" customHeight="1" hidden="1">
      <c r="A36" s="164">
        <f>A32+1</f>
        <v>2</v>
      </c>
      <c r="B36" s="162"/>
      <c r="C36" s="186" t="s">
        <v>61</v>
      </c>
      <c r="D36" s="186"/>
      <c r="E36" s="186"/>
      <c r="F36" s="186"/>
      <c r="G36" s="186"/>
      <c r="H36" s="186"/>
      <c r="I36" s="186"/>
      <c r="J36" s="186"/>
      <c r="K36" s="186"/>
      <c r="L36" s="186"/>
      <c r="M36" s="186"/>
      <c r="N36" s="186"/>
      <c r="O36" s="22"/>
      <c r="P36" s="22"/>
      <c r="Q36" s="22"/>
    </row>
    <row r="37" spans="1:17" ht="60" customHeight="1" hidden="1">
      <c r="A37" s="24"/>
      <c r="B37" s="22"/>
      <c r="C37" s="23"/>
      <c r="D37" s="23"/>
      <c r="E37" s="23"/>
      <c r="F37" s="23"/>
      <c r="G37" s="23"/>
      <c r="H37" s="23"/>
      <c r="I37" s="23"/>
      <c r="J37" s="23"/>
      <c r="K37" s="23"/>
      <c r="L37" s="23"/>
      <c r="M37" s="23"/>
      <c r="N37" s="23"/>
      <c r="O37" s="22"/>
      <c r="P37" s="22"/>
      <c r="Q37" s="22"/>
    </row>
    <row r="38" spans="1:17" ht="60" customHeight="1" hidden="1">
      <c r="A38" s="24">
        <f>A34+1</f>
        <v>3</v>
      </c>
      <c r="B38" s="22"/>
      <c r="C38" s="187" t="s">
        <v>4</v>
      </c>
      <c r="D38" s="187"/>
      <c r="E38" s="187"/>
      <c r="F38" s="187"/>
      <c r="G38" s="187"/>
      <c r="H38" s="187"/>
      <c r="I38" s="187"/>
      <c r="J38" s="187"/>
      <c r="K38" s="187"/>
      <c r="L38" s="187"/>
      <c r="M38" s="187"/>
      <c r="N38" s="187"/>
      <c r="O38" s="22"/>
      <c r="P38" s="22"/>
      <c r="Q38" s="22"/>
    </row>
    <row r="39" spans="1:17" ht="60" customHeight="1" hidden="1">
      <c r="A39" s="163">
        <f>A35+1</f>
        <v>3</v>
      </c>
      <c r="B39" s="161"/>
      <c r="C39" s="185" t="s">
        <v>8</v>
      </c>
      <c r="D39" s="185"/>
      <c r="E39" s="185"/>
      <c r="F39" s="185"/>
      <c r="G39" s="185"/>
      <c r="H39" s="185"/>
      <c r="I39" s="185"/>
      <c r="J39" s="185"/>
      <c r="K39" s="185"/>
      <c r="L39" s="185"/>
      <c r="M39" s="185"/>
      <c r="N39" s="185"/>
      <c r="O39" s="22"/>
      <c r="P39" s="22"/>
      <c r="Q39" s="22"/>
    </row>
    <row r="40" spans="1:17" ht="60" customHeight="1" hidden="1">
      <c r="A40" s="164">
        <f>A36+1</f>
        <v>3</v>
      </c>
      <c r="B40" s="162"/>
      <c r="C40" s="186" t="s">
        <v>62</v>
      </c>
      <c r="D40" s="186"/>
      <c r="E40" s="186"/>
      <c r="F40" s="186"/>
      <c r="G40" s="186"/>
      <c r="H40" s="186"/>
      <c r="I40" s="186"/>
      <c r="J40" s="186"/>
      <c r="K40" s="186"/>
      <c r="L40" s="186"/>
      <c r="M40" s="186"/>
      <c r="N40" s="186"/>
      <c r="O40" s="22"/>
      <c r="P40" s="22"/>
      <c r="Q40" s="22"/>
    </row>
    <row r="41" spans="1:17" ht="60" customHeight="1" hidden="1">
      <c r="A41" s="24"/>
      <c r="B41" s="22"/>
      <c r="C41" s="23"/>
      <c r="D41" s="23"/>
      <c r="E41" s="23"/>
      <c r="F41" s="23"/>
      <c r="G41" s="23"/>
      <c r="H41" s="23"/>
      <c r="I41" s="23"/>
      <c r="J41" s="23"/>
      <c r="K41" s="23"/>
      <c r="L41" s="23"/>
      <c r="M41" s="23"/>
      <c r="N41" s="23"/>
      <c r="O41" s="22"/>
      <c r="P41" s="22"/>
      <c r="Q41" s="22"/>
    </row>
    <row r="42" spans="1:17" ht="60" customHeight="1" hidden="1">
      <c r="A42" s="24">
        <f>A38+1</f>
        <v>4</v>
      </c>
      <c r="B42" s="22"/>
      <c r="C42" s="187" t="s">
        <v>5</v>
      </c>
      <c r="D42" s="187"/>
      <c r="E42" s="187"/>
      <c r="F42" s="187"/>
      <c r="G42" s="187"/>
      <c r="H42" s="187"/>
      <c r="I42" s="187"/>
      <c r="J42" s="187"/>
      <c r="K42" s="187"/>
      <c r="L42" s="187"/>
      <c r="M42" s="187"/>
      <c r="N42" s="187"/>
      <c r="O42" s="22"/>
      <c r="P42" s="22"/>
      <c r="Q42" s="22"/>
    </row>
    <row r="43" spans="1:17" ht="60" customHeight="1" hidden="1">
      <c r="A43" s="163">
        <f>A39+1</f>
        <v>4</v>
      </c>
      <c r="B43" s="161"/>
      <c r="C43" s="185" t="s">
        <v>9</v>
      </c>
      <c r="D43" s="185"/>
      <c r="E43" s="185"/>
      <c r="F43" s="185"/>
      <c r="G43" s="185"/>
      <c r="H43" s="185"/>
      <c r="I43" s="185"/>
      <c r="J43" s="185"/>
      <c r="K43" s="185"/>
      <c r="L43" s="185"/>
      <c r="M43" s="185"/>
      <c r="N43" s="185"/>
      <c r="O43" s="22"/>
      <c r="P43" s="22"/>
      <c r="Q43" s="22"/>
    </row>
    <row r="44" spans="1:17" ht="60" customHeight="1" hidden="1">
      <c r="A44" s="164">
        <f>A40+1</f>
        <v>4</v>
      </c>
      <c r="B44" s="162"/>
      <c r="C44" s="186" t="s">
        <v>63</v>
      </c>
      <c r="D44" s="186"/>
      <c r="E44" s="186"/>
      <c r="F44" s="186"/>
      <c r="G44" s="186"/>
      <c r="H44" s="186"/>
      <c r="I44" s="186"/>
      <c r="J44" s="186"/>
      <c r="K44" s="186"/>
      <c r="L44" s="186"/>
      <c r="M44" s="186"/>
      <c r="N44" s="186"/>
      <c r="O44" s="22"/>
      <c r="P44" s="22"/>
      <c r="Q44" s="22"/>
    </row>
    <row r="45" spans="1:17" ht="60" customHeight="1" hidden="1">
      <c r="A45" s="24"/>
      <c r="B45" s="22"/>
      <c r="C45" s="23"/>
      <c r="D45" s="23"/>
      <c r="E45" s="23"/>
      <c r="F45" s="23"/>
      <c r="G45" s="23"/>
      <c r="H45" s="23"/>
      <c r="I45" s="23"/>
      <c r="J45" s="23"/>
      <c r="K45" s="23"/>
      <c r="L45" s="23"/>
      <c r="M45" s="23"/>
      <c r="N45" s="23"/>
      <c r="O45" s="22"/>
      <c r="P45" s="22"/>
      <c r="Q45" s="22"/>
    </row>
    <row r="46" spans="1:17" ht="15" customHeight="1" hidden="1">
      <c r="A46" s="24">
        <f>A42+1</f>
        <v>5</v>
      </c>
      <c r="B46" s="22"/>
      <c r="C46" s="187" t="s">
        <v>6</v>
      </c>
      <c r="D46" s="187"/>
      <c r="E46" s="187"/>
      <c r="F46" s="187"/>
      <c r="G46" s="187"/>
      <c r="H46" s="187"/>
      <c r="I46" s="187"/>
      <c r="J46" s="187"/>
      <c r="K46" s="187"/>
      <c r="L46" s="187"/>
      <c r="M46" s="187"/>
      <c r="N46" s="187"/>
      <c r="O46" s="22"/>
      <c r="P46" s="22"/>
      <c r="Q46" s="22"/>
    </row>
    <row r="47" spans="1:17" ht="15" customHeight="1" hidden="1">
      <c r="A47" s="163">
        <f>A43+1</f>
        <v>5</v>
      </c>
      <c r="B47" s="161"/>
      <c r="C47" s="185" t="s">
        <v>10</v>
      </c>
      <c r="D47" s="185"/>
      <c r="E47" s="185"/>
      <c r="F47" s="185"/>
      <c r="G47" s="185"/>
      <c r="H47" s="185"/>
      <c r="I47" s="185"/>
      <c r="J47" s="185"/>
      <c r="K47" s="185"/>
      <c r="L47" s="185"/>
      <c r="M47" s="185"/>
      <c r="N47" s="185"/>
      <c r="O47" s="22"/>
      <c r="P47" s="22"/>
      <c r="Q47" s="22"/>
    </row>
    <row r="48" spans="1:17" ht="15" customHeight="1" hidden="1">
      <c r="A48" s="164">
        <f>A44+1</f>
        <v>5</v>
      </c>
      <c r="B48" s="162"/>
      <c r="C48" s="186" t="s">
        <v>64</v>
      </c>
      <c r="D48" s="186"/>
      <c r="E48" s="186"/>
      <c r="F48" s="186"/>
      <c r="G48" s="186"/>
      <c r="H48" s="186"/>
      <c r="I48" s="186"/>
      <c r="J48" s="186"/>
      <c r="K48" s="186"/>
      <c r="L48" s="186"/>
      <c r="M48" s="186"/>
      <c r="N48" s="186"/>
      <c r="O48" s="22"/>
      <c r="P48" s="22"/>
      <c r="Q48" s="22"/>
    </row>
    <row r="49" spans="1:17" ht="15" hidden="1">
      <c r="A49" s="24"/>
      <c r="B49" s="22"/>
      <c r="C49" s="23"/>
      <c r="D49" s="23"/>
      <c r="E49" s="23"/>
      <c r="F49" s="23"/>
      <c r="G49" s="23"/>
      <c r="H49" s="23"/>
      <c r="I49" s="23"/>
      <c r="J49" s="23"/>
      <c r="K49" s="23"/>
      <c r="L49" s="23"/>
      <c r="M49" s="23"/>
      <c r="N49" s="23"/>
      <c r="O49" s="22"/>
      <c r="P49" s="22"/>
      <c r="Q49" s="22"/>
    </row>
    <row r="50" spans="1:17" ht="15" customHeight="1" hidden="1">
      <c r="A50" s="24">
        <f>A46+1</f>
        <v>6</v>
      </c>
      <c r="B50" s="22"/>
      <c r="C50" s="187" t="s">
        <v>65</v>
      </c>
      <c r="D50" s="187"/>
      <c r="E50" s="187"/>
      <c r="F50" s="187"/>
      <c r="G50" s="187"/>
      <c r="H50" s="187"/>
      <c r="I50" s="187"/>
      <c r="J50" s="187"/>
      <c r="K50" s="187"/>
      <c r="L50" s="187"/>
      <c r="M50" s="187"/>
      <c r="N50" s="187"/>
      <c r="O50" s="22"/>
      <c r="P50" s="22"/>
      <c r="Q50" s="22"/>
    </row>
    <row r="51" spans="1:17" ht="15" customHeight="1" hidden="1">
      <c r="A51" s="163">
        <f>A47+1</f>
        <v>6</v>
      </c>
      <c r="B51" s="161"/>
      <c r="C51" s="185" t="s">
        <v>66</v>
      </c>
      <c r="D51" s="185"/>
      <c r="E51" s="185"/>
      <c r="F51" s="185"/>
      <c r="G51" s="185"/>
      <c r="H51" s="185"/>
      <c r="I51" s="185"/>
      <c r="J51" s="185"/>
      <c r="K51" s="185"/>
      <c r="L51" s="185"/>
      <c r="M51" s="185"/>
      <c r="N51" s="185"/>
      <c r="O51" s="22"/>
      <c r="P51" s="22"/>
      <c r="Q51" s="22"/>
    </row>
    <row r="52" spans="1:17" ht="15" customHeight="1" hidden="1">
      <c r="A52" s="164">
        <f>A48+1</f>
        <v>6</v>
      </c>
      <c r="B52" s="162"/>
      <c r="C52" s="186" t="s">
        <v>67</v>
      </c>
      <c r="D52" s="186"/>
      <c r="E52" s="186"/>
      <c r="F52" s="186"/>
      <c r="G52" s="186"/>
      <c r="H52" s="186"/>
      <c r="I52" s="186"/>
      <c r="J52" s="186"/>
      <c r="K52" s="186"/>
      <c r="L52" s="186"/>
      <c r="M52" s="186"/>
      <c r="N52" s="186"/>
      <c r="O52" s="22"/>
      <c r="P52" s="22"/>
      <c r="Q52" s="22"/>
    </row>
    <row r="53" spans="1:17" ht="15" hidden="1">
      <c r="A53" s="24"/>
      <c r="B53" s="22"/>
      <c r="C53" s="23"/>
      <c r="D53" s="23"/>
      <c r="E53" s="23"/>
      <c r="F53" s="23"/>
      <c r="G53" s="23"/>
      <c r="H53" s="23"/>
      <c r="I53" s="23"/>
      <c r="J53" s="23"/>
      <c r="K53" s="23"/>
      <c r="L53" s="23"/>
      <c r="M53" s="23"/>
      <c r="N53" s="23"/>
      <c r="O53" s="22"/>
      <c r="P53" s="22"/>
      <c r="Q53" s="22"/>
    </row>
    <row r="54" spans="1:17" ht="15" customHeight="1" hidden="1">
      <c r="A54" s="24">
        <f>A50+1</f>
        <v>7</v>
      </c>
      <c r="B54" s="22"/>
      <c r="C54" s="187" t="s">
        <v>68</v>
      </c>
      <c r="D54" s="187"/>
      <c r="E54" s="187"/>
      <c r="F54" s="187"/>
      <c r="G54" s="187"/>
      <c r="H54" s="187"/>
      <c r="I54" s="187"/>
      <c r="J54" s="187"/>
      <c r="K54" s="187"/>
      <c r="L54" s="187"/>
      <c r="M54" s="187"/>
      <c r="N54" s="187"/>
      <c r="O54" s="22"/>
      <c r="P54" s="22"/>
      <c r="Q54" s="22"/>
    </row>
    <row r="55" spans="1:17" ht="15" customHeight="1" hidden="1">
      <c r="A55" s="163">
        <f>A51+1</f>
        <v>7</v>
      </c>
      <c r="B55" s="161"/>
      <c r="C55" s="185" t="s">
        <v>11</v>
      </c>
      <c r="D55" s="185"/>
      <c r="E55" s="185"/>
      <c r="F55" s="185"/>
      <c r="G55" s="185"/>
      <c r="H55" s="185"/>
      <c r="I55" s="185"/>
      <c r="J55" s="185"/>
      <c r="K55" s="185"/>
      <c r="L55" s="185"/>
      <c r="M55" s="185"/>
      <c r="N55" s="185"/>
      <c r="O55" s="22"/>
      <c r="P55" s="22"/>
      <c r="Q55" s="22"/>
    </row>
    <row r="56" spans="1:17" ht="15" customHeight="1" hidden="1">
      <c r="A56" s="164">
        <f>A52+1</f>
        <v>7</v>
      </c>
      <c r="B56" s="162"/>
      <c r="C56" s="186" t="s">
        <v>69</v>
      </c>
      <c r="D56" s="186"/>
      <c r="E56" s="186"/>
      <c r="F56" s="186"/>
      <c r="G56" s="186"/>
      <c r="H56" s="186"/>
      <c r="I56" s="186"/>
      <c r="J56" s="186"/>
      <c r="K56" s="186"/>
      <c r="L56" s="186"/>
      <c r="M56" s="186"/>
      <c r="N56" s="186"/>
      <c r="O56" s="22"/>
      <c r="P56" s="22"/>
      <c r="Q56" s="22"/>
    </row>
    <row r="57" spans="1:17" ht="15" hidden="1">
      <c r="A57" s="24"/>
      <c r="B57" s="22"/>
      <c r="C57" s="23"/>
      <c r="D57" s="23"/>
      <c r="E57" s="23"/>
      <c r="F57" s="23"/>
      <c r="G57" s="23"/>
      <c r="H57" s="23"/>
      <c r="I57" s="23"/>
      <c r="J57" s="23"/>
      <c r="K57" s="23"/>
      <c r="L57" s="23"/>
      <c r="M57" s="23"/>
      <c r="N57" s="23"/>
      <c r="O57" s="22"/>
      <c r="P57" s="22"/>
      <c r="Q57" s="22"/>
    </row>
    <row r="58" spans="1:17" ht="15" customHeight="1" hidden="1">
      <c r="A58" s="24">
        <f>A54+1</f>
        <v>8</v>
      </c>
      <c r="B58" s="22"/>
      <c r="C58" s="187" t="s">
        <v>70</v>
      </c>
      <c r="D58" s="187"/>
      <c r="E58" s="187"/>
      <c r="F58" s="187"/>
      <c r="G58" s="187"/>
      <c r="H58" s="187"/>
      <c r="I58" s="187"/>
      <c r="J58" s="187"/>
      <c r="K58" s="187"/>
      <c r="L58" s="187"/>
      <c r="M58" s="187"/>
      <c r="N58" s="187"/>
      <c r="O58" s="22"/>
      <c r="P58" s="22"/>
      <c r="Q58" s="22"/>
    </row>
    <row r="59" spans="1:17" ht="15" customHeight="1" hidden="1">
      <c r="A59" s="165">
        <f>A58</f>
        <v>8</v>
      </c>
      <c r="B59" s="161"/>
      <c r="C59" s="185" t="s">
        <v>71</v>
      </c>
      <c r="D59" s="185"/>
      <c r="E59" s="185"/>
      <c r="F59" s="185"/>
      <c r="G59" s="185"/>
      <c r="H59" s="185"/>
      <c r="I59" s="185"/>
      <c r="J59" s="185"/>
      <c r="K59" s="185"/>
      <c r="L59" s="185"/>
      <c r="M59" s="185"/>
      <c r="N59" s="185"/>
      <c r="O59" s="22"/>
      <c r="P59" s="22"/>
      <c r="Q59" s="22"/>
    </row>
    <row r="60" spans="1:17" ht="15" customHeight="1" hidden="1">
      <c r="A60" s="166">
        <f>A59</f>
        <v>8</v>
      </c>
      <c r="B60" s="162"/>
      <c r="C60" s="186" t="s">
        <v>72</v>
      </c>
      <c r="D60" s="186"/>
      <c r="E60" s="186"/>
      <c r="F60" s="186"/>
      <c r="G60" s="186"/>
      <c r="H60" s="186"/>
      <c r="I60" s="186"/>
      <c r="J60" s="186"/>
      <c r="K60" s="186"/>
      <c r="L60" s="186"/>
      <c r="M60" s="186"/>
      <c r="N60" s="186"/>
      <c r="O60" s="22"/>
      <c r="P60" s="22"/>
      <c r="Q60" s="22"/>
    </row>
    <row r="61" spans="4:13" ht="15" hidden="1">
      <c r="D61" s="16"/>
      <c r="E61" s="16"/>
      <c r="F61" s="16"/>
      <c r="G61" s="16"/>
      <c r="H61" s="16"/>
      <c r="I61" s="16"/>
      <c r="J61" s="16"/>
      <c r="K61" s="16"/>
      <c r="L61" s="16"/>
      <c r="M61" s="16"/>
    </row>
    <row r="62" spans="4:13" ht="15" hidden="1">
      <c r="D62" s="16"/>
      <c r="E62" s="16"/>
      <c r="F62" s="16"/>
      <c r="G62" s="16"/>
      <c r="H62" s="16"/>
      <c r="I62" s="16"/>
      <c r="J62" s="16"/>
      <c r="K62" s="16"/>
      <c r="L62" s="16"/>
      <c r="M62" s="16"/>
    </row>
    <row r="63" ht="15" hidden="1"/>
    <row r="64" ht="15" hidden="1"/>
    <row r="65" ht="15" hidden="1"/>
    <row r="66" ht="15" hidden="1"/>
    <row r="67" ht="15" hidden="1"/>
    <row r="68" ht="15" hidden="1"/>
    <row r="69" ht="15" hidden="1"/>
    <row r="70" ht="15" hidden="1"/>
    <row r="71" ht="15" hidden="1"/>
  </sheetData>
  <sheetProtection password="EF77" sheet="1" objects="1" scenarios="1"/>
  <mergeCells count="34">
    <mergeCell ref="C28:M28"/>
    <mergeCell ref="C39:N39"/>
    <mergeCell ref="C40:N40"/>
    <mergeCell ref="C42:N42"/>
    <mergeCell ref="C36:N36"/>
    <mergeCell ref="C38:N38"/>
    <mergeCell ref="C34:N34"/>
    <mergeCell ref="C35:N35"/>
    <mergeCell ref="C13:N13"/>
    <mergeCell ref="C15:N15"/>
    <mergeCell ref="C17:N17"/>
    <mergeCell ref="C19:N19"/>
    <mergeCell ref="C30:N30"/>
    <mergeCell ref="C31:N31"/>
    <mergeCell ref="C32:N32"/>
    <mergeCell ref="C27:M27"/>
    <mergeCell ref="C5:N5"/>
    <mergeCell ref="C7:N7"/>
    <mergeCell ref="C9:N9"/>
    <mergeCell ref="C11:N11"/>
    <mergeCell ref="C43:N43"/>
    <mergeCell ref="C44:N44"/>
    <mergeCell ref="C46:N46"/>
    <mergeCell ref="C47:N47"/>
    <mergeCell ref="C48:N48"/>
    <mergeCell ref="C50:N50"/>
    <mergeCell ref="C51:N51"/>
    <mergeCell ref="C52:N52"/>
    <mergeCell ref="C59:N59"/>
    <mergeCell ref="C60:N60"/>
    <mergeCell ref="C54:N54"/>
    <mergeCell ref="C55:N55"/>
    <mergeCell ref="C56:N56"/>
    <mergeCell ref="C58:N58"/>
  </mergeCells>
  <printOptions/>
  <pageMargins left="0.75" right="0.75" top="1" bottom="1" header="0.4921259845" footer="0.4921259845"/>
  <pageSetup horizontalDpi="300" verticalDpi="300" orientation="landscape" paperSize="9" scale="83" r:id="rId1"/>
  <headerFooter alignWithMargins="0">
    <oddFooter>&amp;L&amp;F / &amp;A / &amp;D&amp;RSeite &amp;P von &amp;N</oddFooter>
  </headerFooter>
</worksheet>
</file>

<file path=xl/worksheets/sheet3.xml><?xml version="1.0" encoding="utf-8"?>
<worksheet xmlns="http://schemas.openxmlformats.org/spreadsheetml/2006/main" xmlns:r="http://schemas.openxmlformats.org/officeDocument/2006/relationships">
  <dimension ref="A1:T53"/>
  <sheetViews>
    <sheetView showGridLines="0" showRowColHeaders="0" zoomScalePageLayoutView="0" workbookViewId="0" topLeftCell="A1">
      <selection activeCell="T21" sqref="T21"/>
    </sheetView>
  </sheetViews>
  <sheetFormatPr defaultColWidth="11.421875" defaultRowHeight="15" customHeight="1"/>
  <cols>
    <col min="1" max="1" width="3.00390625" style="13" customWidth="1"/>
    <col min="2" max="4" width="8.7109375" style="13" customWidth="1"/>
    <col min="5" max="5" width="12.7109375" style="13" customWidth="1"/>
    <col min="6" max="6" width="4.7109375" style="13" customWidth="1"/>
    <col min="7" max="10" width="8.7109375" style="13" customWidth="1"/>
    <col min="11" max="11" width="12.7109375" style="13" customWidth="1"/>
    <col min="12" max="12" width="4.7109375" style="13" customWidth="1"/>
    <col min="13" max="16" width="8.7109375" style="13" customWidth="1"/>
    <col min="17" max="17" width="12.7109375" style="13" customWidth="1"/>
    <col min="18" max="18" width="4.7109375" style="13" customWidth="1"/>
    <col min="19" max="19" width="9.7109375" style="13" customWidth="1"/>
    <col min="20" max="20" width="2.7109375" style="13" customWidth="1"/>
    <col min="21" max="22" width="9.7109375" style="13" customWidth="1"/>
    <col min="23" max="16384" width="11.421875" style="13" customWidth="1"/>
  </cols>
  <sheetData>
    <row r="1" spans="1:17" s="7" customFormat="1" ht="13.5" customHeight="1">
      <c r="A1" s="3"/>
      <c r="B1" s="4" t="str">
        <f>IF(Info!H10&gt;2.5,"Project:",IF(Info!H10&gt;1.5,"Projekt :",IF(Info!H10&gt;0.5,"Proje :","")))</f>
        <v>Proje :</v>
      </c>
      <c r="C1" s="4"/>
      <c r="D1" s="25" t="s">
        <v>12</v>
      </c>
      <c r="E1" s="25"/>
      <c r="F1" s="25"/>
      <c r="G1" s="25"/>
      <c r="H1" s="1"/>
      <c r="I1" s="6"/>
      <c r="J1" s="6"/>
      <c r="K1" s="172" t="str">
        <f>Info!B7</f>
        <v>www.guven-kutay.ch</v>
      </c>
      <c r="N1" s="8"/>
      <c r="O1" s="6"/>
      <c r="P1" s="6"/>
      <c r="Q1" s="157" t="str">
        <f>Info!B9</f>
        <v>Copyright : M. G. Kutay , Ver 10.01</v>
      </c>
    </row>
    <row r="2" spans="1:16" s="7" customFormat="1" ht="13.5" customHeight="1">
      <c r="A2" s="3"/>
      <c r="B2" s="1"/>
      <c r="C2" s="1"/>
      <c r="D2" s="1"/>
      <c r="E2" s="1"/>
      <c r="F2" s="1"/>
      <c r="G2" s="1"/>
      <c r="H2" s="1"/>
      <c r="I2" s="6"/>
      <c r="J2" s="6"/>
      <c r="K2" s="8"/>
      <c r="N2" s="8"/>
      <c r="O2" s="6"/>
      <c r="P2" s="6"/>
    </row>
    <row r="3" spans="1:16" s="7" customFormat="1" ht="13.5" customHeight="1">
      <c r="A3" s="3"/>
      <c r="B3" s="27" t="str">
        <f>IF(Info!$H$10&gt;2.5,"Field of use",IF(Info!$H$10&gt;1.5,"Einsatzort",IF(Info!$H$10&gt;0.5,"Kullanıldığı yer","")))</f>
        <v>Kullanıldığı yer</v>
      </c>
      <c r="C3" s="27"/>
      <c r="D3" s="25" t="s">
        <v>12</v>
      </c>
      <c r="E3" s="25"/>
      <c r="F3" s="25"/>
      <c r="G3" s="25"/>
      <c r="I3" s="6"/>
      <c r="J3" s="6"/>
      <c r="K3" s="8"/>
      <c r="N3" s="8"/>
      <c r="O3" s="6"/>
      <c r="P3" s="6"/>
    </row>
    <row r="4" spans="1:20" s="7" customFormat="1" ht="13.5" customHeight="1">
      <c r="A4" s="3"/>
      <c r="B4" s="1"/>
      <c r="C4" s="1"/>
      <c r="D4" s="1"/>
      <c r="E4" s="1"/>
      <c r="F4" s="1"/>
      <c r="G4" s="1"/>
      <c r="H4" s="1"/>
      <c r="I4" s="6"/>
      <c r="J4" s="6"/>
      <c r="K4" s="8"/>
      <c r="N4" s="8"/>
      <c r="O4" s="1"/>
      <c r="P4" s="1"/>
      <c r="Q4" s="1"/>
      <c r="R4" s="1"/>
      <c r="S4" s="1"/>
      <c r="T4" s="1"/>
    </row>
    <row r="5" spans="1:20" s="7" customFormat="1" ht="13.5" customHeight="1">
      <c r="A5" s="3"/>
      <c r="B5" s="14" t="str">
        <f>IF(Info!H10&gt;2.5,"Base items",IF(Info!H10&gt;1.5,"Grundgrössen",IF(Info!H10&gt;0.5,"Temel değerler","")))</f>
        <v>Temel değerler</v>
      </c>
      <c r="C5" s="14"/>
      <c r="D5" s="1"/>
      <c r="E5" s="1"/>
      <c r="J5" s="6"/>
      <c r="K5" s="8"/>
      <c r="N5" s="8"/>
      <c r="O5" s="1"/>
      <c r="P5" s="1"/>
      <c r="Q5" s="1"/>
      <c r="R5" s="1"/>
      <c r="S5" s="1"/>
      <c r="T5" s="1"/>
    </row>
    <row r="6" spans="1:20" s="7" customFormat="1" ht="13.5" customHeight="1">
      <c r="A6" s="3"/>
      <c r="B6" s="66" t="str">
        <f>IF(Info!H10&gt;2.5,"Number of teeth",IF(Info!H10&gt;1.5,"Zähnezahl",IF(Info!H10&gt;0.5,"Diş sayısı","")))</f>
        <v>Diş sayısı</v>
      </c>
      <c r="C6" s="43"/>
      <c r="D6" s="43"/>
      <c r="E6" s="92" t="str">
        <f>IF(Info!$H$10&gt;2.5,"Sun gear ",IF(Info!$H$10&gt;1.5,"Sonne  ","Güneş  "))</f>
        <v>Güneş  </v>
      </c>
      <c r="F6" s="73" t="s">
        <v>36</v>
      </c>
      <c r="G6" s="31">
        <v>21</v>
      </c>
      <c r="K6" s="8"/>
      <c r="N6" s="8"/>
      <c r="O6" s="1"/>
      <c r="P6" s="1"/>
      <c r="Q6" s="1"/>
      <c r="R6" s="1"/>
      <c r="S6" s="1"/>
      <c r="T6" s="1"/>
    </row>
    <row r="7" spans="1:20" s="7" customFormat="1" ht="13.5" customHeight="1">
      <c r="A7" s="3"/>
      <c r="B7" s="93"/>
      <c r="C7" s="94"/>
      <c r="D7" s="52"/>
      <c r="E7" s="95" t="str">
        <f>IF(Info!$H$10&gt;2.5,"Ring gear",IF(Info!$H$10&gt;1.5,"Hohlrad","Çember  "))</f>
        <v>Çember  </v>
      </c>
      <c r="F7" s="74" t="s">
        <v>37</v>
      </c>
      <c r="G7" s="32">
        <v>82</v>
      </c>
      <c r="J7" s="39" t="str">
        <f>IF(G10-ROUNDDOWN(G10,0)&lt;=0,"Monte edilebilinir.","Monte edilemez. Lütfen kitaba bakınız.")</f>
        <v>Monte edilebilinir.</v>
      </c>
      <c r="K7" s="8"/>
      <c r="N7" s="8"/>
      <c r="O7" s="1"/>
      <c r="P7" s="1"/>
      <c r="Q7" s="1"/>
      <c r="R7" s="1"/>
      <c r="S7" s="1"/>
      <c r="T7" s="1"/>
    </row>
    <row r="8" spans="1:20" s="7" customFormat="1" ht="13.5" customHeight="1">
      <c r="A8" s="3"/>
      <c r="B8" s="12" t="str">
        <f>IF(Info!H10&gt;2.5,"Number of teeth of the planets",IF(Info!H10&gt;1.5,"Zähnezahl der Planeten",IF(Info!H10&gt;0.5,"Planet dişlinin diş sayısı","")))</f>
        <v>Planet dişlinin diş sayısı</v>
      </c>
      <c r="C8" s="19"/>
      <c r="D8" s="19"/>
      <c r="E8" s="96"/>
      <c r="F8" s="74" t="s">
        <v>38</v>
      </c>
      <c r="G8" s="97">
        <f>0.5*(G7-G6)</f>
        <v>30.5</v>
      </c>
      <c r="J8" s="98"/>
      <c r="K8" s="8"/>
      <c r="N8" s="8"/>
      <c r="O8" s="1"/>
      <c r="P8" s="1"/>
      <c r="Q8" s="1"/>
      <c r="R8" s="1"/>
      <c r="S8" s="1"/>
      <c r="T8" s="1"/>
    </row>
    <row r="9" spans="1:20" s="7" customFormat="1" ht="13.5" customHeight="1">
      <c r="A9" s="3"/>
      <c r="B9" s="99" t="str">
        <f>IF(Info!H10&gt;2.5,"Amount of the planets",IF(Info!H10&gt;1.5,"Anzahl der Planeten",IF(Info!H10&gt;0.5,"Planet dişli adedi","")))</f>
        <v>Planet dişli adedi</v>
      </c>
      <c r="C9" s="100"/>
      <c r="D9" s="19"/>
      <c r="E9" s="19"/>
      <c r="F9" s="74" t="s">
        <v>39</v>
      </c>
      <c r="G9" s="32">
        <v>1</v>
      </c>
      <c r="J9" s="39" t="str">
        <f>IF(G10-ROUNDDOWN(G10,0)&lt;=0,"Montage ist möglich","Montage ist nicht möglich. Ziehe das Buch.")</f>
        <v>Montage ist möglich</v>
      </c>
      <c r="K9" s="8"/>
      <c r="N9" s="8"/>
      <c r="O9" s="1"/>
      <c r="P9" s="1"/>
      <c r="Q9" s="1"/>
      <c r="R9" s="1"/>
      <c r="S9" s="1"/>
      <c r="T9" s="1"/>
    </row>
    <row r="10" spans="1:20" s="7" customFormat="1" ht="13.5" customHeight="1">
      <c r="A10" s="3"/>
      <c r="B10" s="99" t="str">
        <f>IF(Info!H10&gt;2.5,"Control of the assembly possibility",IF(Info!H10&gt;1.5,"Kontrolle der Montagemöglichkeit",IF(Info!H10&gt;0.5,"Monte edebilme kontrolü","")))</f>
        <v>Monte edebilme kontrolü</v>
      </c>
      <c r="C10" s="100"/>
      <c r="D10" s="100"/>
      <c r="E10" s="19"/>
      <c r="F10" s="71"/>
      <c r="G10" s="101">
        <f>(G7+G6)/G9</f>
        <v>103</v>
      </c>
      <c r="I10" s="6"/>
      <c r="J10" s="98"/>
      <c r="K10" s="8"/>
      <c r="N10" s="8"/>
      <c r="O10" s="1"/>
      <c r="P10" s="1"/>
      <c r="Q10" s="1"/>
      <c r="R10" s="1"/>
      <c r="S10" s="1"/>
      <c r="T10" s="1"/>
    </row>
    <row r="11" spans="2:20" s="7" customFormat="1" ht="13.5" customHeight="1">
      <c r="B11" s="9" t="str">
        <f>IF(Info!H10&gt;2.5,"Base transmission",IF(Info!H10&gt;1.5,"Grundübersetzung",IF(Info!H10&gt;0.5,"Standart çevirme oranı","")))</f>
        <v>Standart çevirme oranı</v>
      </c>
      <c r="C11" s="40"/>
      <c r="D11" s="42"/>
      <c r="E11" s="42"/>
      <c r="F11" s="72" t="s">
        <v>16</v>
      </c>
      <c r="G11" s="102">
        <f>G7/G6*(-1)</f>
        <v>-3.9047619047619047</v>
      </c>
      <c r="H11" s="1"/>
      <c r="I11" s="1"/>
      <c r="J11" s="39" t="str">
        <f>IF(G10-ROUNDDOWN(G10,0)&lt;=0,"Assembly is possible","Assembly is not possible. Refer to the book ")</f>
        <v>Assembly is possible</v>
      </c>
      <c r="K11" s="6"/>
      <c r="L11" s="6"/>
      <c r="N11" s="8"/>
      <c r="O11" s="1"/>
      <c r="P11" s="1"/>
      <c r="Q11" s="1"/>
      <c r="R11" s="1"/>
      <c r="S11" s="1"/>
      <c r="T11" s="1"/>
    </row>
    <row r="12" spans="1:20" s="7" customFormat="1" ht="13.5" customHeight="1">
      <c r="A12" s="6"/>
      <c r="B12" s="189" t="str">
        <f>IF(Info!H10&gt;2.5,J11,IF(Info!H10&gt;1.5,J9,IF(Info!H10&gt;0.5,J7,"")))</f>
        <v>Monte edilebilinir.</v>
      </c>
      <c r="C12" s="189"/>
      <c r="D12" s="189"/>
      <c r="E12" s="189"/>
      <c r="F12" s="189"/>
      <c r="G12" s="1"/>
      <c r="J12" s="6"/>
      <c r="O12" s="1"/>
      <c r="P12" s="1"/>
      <c r="Q12" s="1"/>
      <c r="R12" s="1"/>
      <c r="S12" s="1"/>
      <c r="T12" s="1"/>
    </row>
    <row r="13" spans="1:20" s="7" customFormat="1" ht="13.5" customHeight="1">
      <c r="A13" s="6"/>
      <c r="B13" s="190"/>
      <c r="C13" s="190"/>
      <c r="D13" s="190"/>
      <c r="E13" s="190"/>
      <c r="F13" s="190"/>
      <c r="G13" s="1"/>
      <c r="O13" s="1"/>
      <c r="P13" s="1"/>
      <c r="Q13" s="1"/>
      <c r="R13" s="1"/>
      <c r="S13" s="1"/>
      <c r="T13" s="1"/>
    </row>
    <row r="14" spans="1:20" s="7" customFormat="1" ht="13.5" customHeight="1">
      <c r="A14" s="6"/>
      <c r="E14" s="1"/>
      <c r="F14" s="1"/>
      <c r="G14" s="1"/>
      <c r="O14" s="1"/>
      <c r="P14" s="1"/>
      <c r="Q14" s="1"/>
      <c r="R14" s="1"/>
      <c r="S14" s="1"/>
      <c r="T14" s="1"/>
    </row>
    <row r="15" spans="1:20" s="7" customFormat="1" ht="13.5" customHeight="1">
      <c r="A15" s="6"/>
      <c r="O15" s="1"/>
      <c r="P15" s="1"/>
      <c r="Q15" s="1"/>
      <c r="R15" s="1"/>
      <c r="S15" s="1"/>
      <c r="T15" s="1"/>
    </row>
    <row r="16" spans="1:17" s="7" customFormat="1" ht="13.5" customHeight="1">
      <c r="A16" s="6"/>
      <c r="B16" s="14" t="str">
        <f>IF(Info!$H$10&gt;2.5,"Pleace, calculate the efficiency of the planetary gears",IF(Info!$H$10&gt;1.5,"Bitte berechnen Sie die Wirkungsgrad der Planetenstufe.",IF(Info!$H$10&gt;0.5,"Lütfen;  Planet kademesinndeki randımanı hesaplayınız.","")))</f>
        <v>Lütfen;  Planet kademesinndeki randımanı hesaplayınız.</v>
      </c>
      <c r="P16" s="6"/>
      <c r="Q16" s="6"/>
    </row>
    <row r="17" spans="1:17" s="7" customFormat="1" ht="13.5" customHeight="1">
      <c r="A17" s="6"/>
      <c r="B17" s="54" t="s">
        <v>23</v>
      </c>
      <c r="C17" s="55" t="s">
        <v>24</v>
      </c>
      <c r="D17" s="56" t="s">
        <v>25</v>
      </c>
      <c r="E17" s="56" t="s">
        <v>26</v>
      </c>
      <c r="P17" s="6"/>
      <c r="Q17" s="6"/>
    </row>
    <row r="18" spans="1:17" s="7" customFormat="1" ht="13.5" customHeight="1">
      <c r="A18" s="6"/>
      <c r="B18" s="118">
        <v>0.995</v>
      </c>
      <c r="C18" s="119">
        <v>0.995</v>
      </c>
      <c r="D18" s="120">
        <v>0.96</v>
      </c>
      <c r="E18" s="120">
        <v>1</v>
      </c>
      <c r="F18" s="1"/>
      <c r="G18" s="1"/>
      <c r="P18" s="6"/>
      <c r="Q18" s="6"/>
    </row>
    <row r="19" spans="1:17" s="7" customFormat="1" ht="13.5" customHeight="1">
      <c r="A19" s="6"/>
      <c r="C19" s="1"/>
      <c r="D19" s="1"/>
      <c r="E19" s="1"/>
      <c r="F19" s="1"/>
      <c r="G19" s="1"/>
      <c r="P19" s="6"/>
      <c r="Q19" s="6"/>
    </row>
    <row r="20" spans="1:19" s="7" customFormat="1" ht="13.5" customHeight="1">
      <c r="A20" s="6"/>
      <c r="B20" s="192" t="str">
        <f>IF(Info!$H$10&gt;2.5,"1.Case,  a) Planetary gear supporter is firm, drive is the sun",IF(Info!$H$10&gt;1.5,"1. Fall,  a) Planetenträger ist fest, Antrieb ist die Sonne",IF(Info!$H$10&gt;0.5,"1. Hal,  a) Kovan sabit, Tahrik güneşden","")))</f>
        <v>1. Hal,  a) Kovan sabit, Tahrik güneşden</v>
      </c>
      <c r="C20" s="192"/>
      <c r="D20" s="192"/>
      <c r="E20" s="192"/>
      <c r="F20" s="192"/>
      <c r="G20" s="192"/>
      <c r="H20" s="194" t="str">
        <f>IF(Info!$H$10&gt;2.5,"2.Case,  a) Hollow wheel is firm, drive is the sun",IF(Info!$H$10&gt;1.5,"2. Fall,  a) Hohlrad ist fest, Antrieb ist die Sonne",IF(Info!$H$10&gt;0.5,"2. Hal,  a) Çember sabit, Tahrik güneşden","")))</f>
        <v>2. Hal,  a) Çember sabit, Tahrik güneşden</v>
      </c>
      <c r="I20" s="194"/>
      <c r="J20" s="194"/>
      <c r="K20" s="194"/>
      <c r="L20" s="194"/>
      <c r="M20" s="194"/>
      <c r="N20" s="195" t="str">
        <f>IF(Info!$H$10&gt;2.5,"3.Case,  a) The sun is firm, drive is the hollow wheel",IF(Info!$H$10&gt;1.5,"3. Fall,  a) Die Sonne ist fest, Antrieb ist Hohlrad",IF(Info!$H$10&gt;0.5,"3. Hal,  a)  Güneş sabit, Tahrik çemberden","")))</f>
        <v>3. Hal,  a)  Güneş sabit, Tahrik çemberden</v>
      </c>
      <c r="O20" s="195"/>
      <c r="P20" s="195"/>
      <c r="Q20" s="195"/>
      <c r="R20" s="195"/>
      <c r="S20" s="195"/>
    </row>
    <row r="21" spans="1:19" s="7" customFormat="1" ht="13.5" customHeight="1">
      <c r="A21" s="6"/>
      <c r="B21" s="192"/>
      <c r="C21" s="192"/>
      <c r="D21" s="192"/>
      <c r="E21" s="192"/>
      <c r="F21" s="192"/>
      <c r="G21" s="192"/>
      <c r="H21" s="194"/>
      <c r="I21" s="194"/>
      <c r="J21" s="194"/>
      <c r="K21" s="194"/>
      <c r="L21" s="194"/>
      <c r="M21" s="194"/>
      <c r="N21" s="195"/>
      <c r="O21" s="195"/>
      <c r="P21" s="195"/>
      <c r="Q21" s="195"/>
      <c r="R21" s="195"/>
      <c r="S21" s="195"/>
    </row>
    <row r="22" spans="1:19" s="7" customFormat="1" ht="13.5" customHeight="1">
      <c r="A22" s="6"/>
      <c r="C22" s="103" t="str">
        <f>IF(Info!$H$10&gt;2.5,"Speed of the sun gear",IF(Info!$H$10&gt;1.5,"Drehzahl der Sonne",IF(Info!$H$10&gt;0.5,"Güneşin devir sayısı","")))</f>
        <v>Güneşin devir sayısı</v>
      </c>
      <c r="D22" s="104"/>
      <c r="E22" s="104"/>
      <c r="F22" s="60" t="s">
        <v>17</v>
      </c>
      <c r="G22" s="29">
        <v>-250</v>
      </c>
      <c r="I22" s="103" t="str">
        <f>C22</f>
        <v>Güneşin devir sayısı</v>
      </c>
      <c r="J22" s="104"/>
      <c r="K22" s="104"/>
      <c r="L22" s="60" t="s">
        <v>17</v>
      </c>
      <c r="M22" s="29">
        <v>-250</v>
      </c>
      <c r="O22" s="105" t="str">
        <f>C22</f>
        <v>Güneşin devir sayısı</v>
      </c>
      <c r="P22" s="106"/>
      <c r="Q22" s="106"/>
      <c r="R22" s="60" t="s">
        <v>17</v>
      </c>
      <c r="S22" s="107">
        <v>0</v>
      </c>
    </row>
    <row r="23" spans="1:19" s="7" customFormat="1" ht="13.5" customHeight="1">
      <c r="A23" s="6"/>
      <c r="C23" s="51"/>
      <c r="D23" s="52"/>
      <c r="E23" s="53" t="str">
        <f>IF(Info!$H$10&gt;2.5,"Torque   ",IF(Info!$H$10&gt;1.5,"Drehmoment   ",IF(Info!$H$10&gt;0.5,"Torsiyon momenti   ","")))</f>
        <v>Torsiyon momenti   </v>
      </c>
      <c r="F23" s="61" t="s">
        <v>22</v>
      </c>
      <c r="G23" s="26">
        <v>100</v>
      </c>
      <c r="I23" s="51"/>
      <c r="J23" s="52"/>
      <c r="K23" s="53" t="str">
        <f>E23</f>
        <v>Torsiyon momenti   </v>
      </c>
      <c r="L23" s="61" t="s">
        <v>22</v>
      </c>
      <c r="M23" s="26">
        <v>100</v>
      </c>
      <c r="O23" s="99" t="str">
        <f>C25</f>
        <v>Çemberin devir sayısı </v>
      </c>
      <c r="P23" s="100"/>
      <c r="Q23" s="100"/>
      <c r="R23" s="62" t="s">
        <v>18</v>
      </c>
      <c r="S23" s="26">
        <v>125</v>
      </c>
    </row>
    <row r="24" spans="1:19" s="7" customFormat="1" ht="13.5" customHeight="1">
      <c r="A24" s="6"/>
      <c r="C24" s="49" t="str">
        <f>IF(Info!H10&gt;2.5,"Transmission  Sun gear/Ring gear",IF(Info!H10&gt;1.5,"Übersetzung  Sonne/Hohlrad ",IF(Info!H10&gt;0.5,"Güneş/Çember çevirme oranı","")))</f>
        <v>Güneş/Çember çevirme oranı</v>
      </c>
      <c r="D24" s="44"/>
      <c r="E24" s="44"/>
      <c r="F24" s="64" t="s">
        <v>30</v>
      </c>
      <c r="G24" s="65">
        <f>G6/G7</f>
        <v>0.25609756097560976</v>
      </c>
      <c r="I24" s="99" t="str">
        <f>C25</f>
        <v>Çemberin devir sayısı </v>
      </c>
      <c r="J24" s="100"/>
      <c r="K24" s="100"/>
      <c r="L24" s="62" t="s">
        <v>18</v>
      </c>
      <c r="M24" s="108">
        <v>0</v>
      </c>
      <c r="O24" s="49"/>
      <c r="P24" s="44"/>
      <c r="Q24" s="50" t="str">
        <f>E23</f>
        <v>Torsiyon momenti   </v>
      </c>
      <c r="R24" s="61" t="s">
        <v>21</v>
      </c>
      <c r="S24" s="26">
        <v>100</v>
      </c>
    </row>
    <row r="25" spans="1:19" s="7" customFormat="1" ht="13.5" customHeight="1">
      <c r="A25" s="6"/>
      <c r="C25" s="109" t="str">
        <f>IF(Info!$H$10&gt;2.5,"Speed of the ring gear",IF(Info!$H$10&gt;1.5,"Drehzahl des Hohlrades",IF(Info!$H$10&gt;0.5,"Çemberin devir sayısı ","")))</f>
        <v>Çemberin devir sayısı </v>
      </c>
      <c r="D25" s="110"/>
      <c r="E25" s="110"/>
      <c r="F25" s="62" t="s">
        <v>18</v>
      </c>
      <c r="G25" s="20">
        <f>G22*G24*(-1)</f>
        <v>64.02439024390245</v>
      </c>
      <c r="I25" s="49" t="str">
        <f>IF(Info!H10&gt;2.5,"Transmission  Sun gear/Planet slower",IF(Info!H10&gt;1.5,"Übersetzung  Sonne/Planetenträger ",IF(Info!H10&gt;0.5,"Güneş/Kovan çevirme oranı","")))</f>
        <v>Güneş/Kovan çevirme oranı</v>
      </c>
      <c r="J25" s="44"/>
      <c r="K25" s="44"/>
      <c r="L25" s="64" t="s">
        <v>28</v>
      </c>
      <c r="M25" s="65">
        <f>1-G11</f>
        <v>4.904761904761905</v>
      </c>
      <c r="O25" s="49" t="str">
        <f>IF(Info!H10&gt;2.5,"Transmission  Ring gear/Planet slower",IF(Info!H10&gt;1.5,"Übersetzung  Hohlrad/Planetenträger",IF(Info!H10&gt;0.5,"Çember /Kovan  çevirme oranı","")))</f>
        <v>Çember /Kovan  çevirme oranı</v>
      </c>
      <c r="P25" s="44"/>
      <c r="Q25" s="44"/>
      <c r="R25" s="64" t="s">
        <v>34</v>
      </c>
      <c r="S25" s="20">
        <f>1-1/G11</f>
        <v>1.2560975609756098</v>
      </c>
    </row>
    <row r="26" spans="1:19" s="7" customFormat="1" ht="13.5" customHeight="1">
      <c r="A26" s="6"/>
      <c r="C26" s="51"/>
      <c r="D26" s="52"/>
      <c r="E26" s="53" t="str">
        <f>E23</f>
        <v>Torsiyon momenti   </v>
      </c>
      <c r="F26" s="61" t="s">
        <v>21</v>
      </c>
      <c r="G26" s="20">
        <f>G23*G11*E18</f>
        <v>-390.4761904761905</v>
      </c>
      <c r="H26" s="1"/>
      <c r="I26" s="109" t="str">
        <f>C27</f>
        <v>Kovanın devir sayısı </v>
      </c>
      <c r="J26" s="110"/>
      <c r="K26" s="110"/>
      <c r="L26" s="62" t="s">
        <v>19</v>
      </c>
      <c r="M26" s="20">
        <f>M22/M25</f>
        <v>-50.970873786407765</v>
      </c>
      <c r="O26" s="99" t="str">
        <f>C27</f>
        <v>Kovanın devir sayısı </v>
      </c>
      <c r="P26" s="100"/>
      <c r="Q26" s="100"/>
      <c r="R26" s="62" t="s">
        <v>19</v>
      </c>
      <c r="S26" s="20">
        <f>S23/S25</f>
        <v>99.51456310679612</v>
      </c>
    </row>
    <row r="27" spans="1:19" s="7" customFormat="1" ht="13.5" customHeight="1">
      <c r="A27" s="6"/>
      <c r="C27" s="99" t="str">
        <f>IF(Info!$H$10&gt;2.5,"Speed of the planetary gear supporter",IF(Info!$H$10&gt;1.5,"Drehzahl des Planetenträgers ",IF(Info!$H$10&gt;0.5,"Kovanın devir sayısı ","")))</f>
        <v>Kovanın devir sayısı </v>
      </c>
      <c r="D27" s="100"/>
      <c r="E27" s="100"/>
      <c r="F27" s="62" t="s">
        <v>19</v>
      </c>
      <c r="G27" s="108">
        <v>0</v>
      </c>
      <c r="H27" s="1"/>
      <c r="I27" s="51"/>
      <c r="J27" s="52"/>
      <c r="K27" s="53" t="str">
        <f>E23</f>
        <v>Torsiyon momenti   </v>
      </c>
      <c r="L27" s="61" t="s">
        <v>27</v>
      </c>
      <c r="M27" s="20">
        <f>M23*M25</f>
        <v>490.4761904761905</v>
      </c>
      <c r="O27" s="49"/>
      <c r="P27" s="44"/>
      <c r="Q27" s="50" t="str">
        <f>E23</f>
        <v>Torsiyon momenti   </v>
      </c>
      <c r="R27" s="61" t="s">
        <v>27</v>
      </c>
      <c r="S27" s="20">
        <f>S24*S25*E18</f>
        <v>125.60975609756098</v>
      </c>
    </row>
    <row r="28" spans="1:19" s="7" customFormat="1" ht="13.5" customHeight="1">
      <c r="A28" s="6"/>
      <c r="C28" s="111" t="str">
        <f>IF(Info!H10&gt;2.5,"Transmission  Sun gear/Planets",IF(Info!H10&gt;1.5,"Übersetzung  Sonne/Planeten ",IF(Info!H10&gt;0.5,"Güneş/Planet çevirme oranı","")))</f>
        <v>Güneş/Planet çevirme oranı</v>
      </c>
      <c r="D28" s="112"/>
      <c r="E28" s="44"/>
      <c r="F28" s="64" t="s">
        <v>29</v>
      </c>
      <c r="G28" s="65">
        <f>G6/G8</f>
        <v>0.6885245901639344</v>
      </c>
      <c r="H28" s="1"/>
      <c r="I28" s="49" t="str">
        <f>C28</f>
        <v>Güneş/Planet çevirme oranı</v>
      </c>
      <c r="J28" s="44"/>
      <c r="K28" s="44"/>
      <c r="L28" s="64" t="s">
        <v>29</v>
      </c>
      <c r="M28" s="65">
        <f>G6/G8</f>
        <v>0.6885245901639344</v>
      </c>
      <c r="O28" s="49" t="str">
        <f>C38</f>
        <v>Çember/Planet çevirme oranı</v>
      </c>
      <c r="P28" s="44"/>
      <c r="Q28" s="44"/>
      <c r="R28" s="64" t="s">
        <v>32</v>
      </c>
      <c r="S28" s="20">
        <f>G7/G8</f>
        <v>2.6885245901639343</v>
      </c>
    </row>
    <row r="29" spans="1:19" s="7" customFormat="1" ht="13.5" customHeight="1">
      <c r="A29" s="6"/>
      <c r="C29" s="113" t="str">
        <f>IF(Info!$H$10&gt;2.5,"Speed of the planets",IF(Info!$H$10&gt;1.5,"Drehzahl der Planeten",IF(Info!$H$10&gt;0.5,"Planetlerin devir sayısı ","")))</f>
        <v>Planetlerin devir sayısı </v>
      </c>
      <c r="D29" s="114"/>
      <c r="E29" s="114"/>
      <c r="F29" s="63" t="s">
        <v>20</v>
      </c>
      <c r="G29" s="28">
        <f>G22*G28*(-1)</f>
        <v>172.1311475409836</v>
      </c>
      <c r="H29" s="1"/>
      <c r="I29" s="113" t="str">
        <f>C29</f>
        <v>Planetlerin devir sayısı </v>
      </c>
      <c r="J29" s="114"/>
      <c r="K29" s="114"/>
      <c r="L29" s="63" t="s">
        <v>20</v>
      </c>
      <c r="M29" s="28">
        <f>M22*M28*(-1)</f>
        <v>172.1311475409836</v>
      </c>
      <c r="O29" s="113" t="str">
        <f>C29</f>
        <v>Planetlerin devir sayısı </v>
      </c>
      <c r="P29" s="114"/>
      <c r="Q29" s="114"/>
      <c r="R29" s="63" t="s">
        <v>20</v>
      </c>
      <c r="S29" s="28">
        <f>S23*S28</f>
        <v>336.06557377049177</v>
      </c>
    </row>
    <row r="30" spans="1:19" s="7" customFormat="1" ht="13.5" customHeight="1">
      <c r="A30" s="6"/>
      <c r="B30" s="192" t="str">
        <f>IF(Info!$H$10&gt;2.5,"1.Case,  b) Planetary gear supporter is firm, drive is the hollow wheel",IF(Info!$H$10&gt;1.5,"1. Fall,  b) Planetenträger ist fest, Antrieb ist das Hohlrad",IF(Info!$H$10&gt;0.5,"1. Hal,  b) Kovan sabit, Tahrik çemberden","")))</f>
        <v>1. Hal,  b) Kovan sabit, Tahrik çemberden</v>
      </c>
      <c r="C30" s="192"/>
      <c r="D30" s="192"/>
      <c r="E30" s="192"/>
      <c r="F30" s="192"/>
      <c r="G30" s="192"/>
      <c r="H30" s="193" t="str">
        <f>IF(Info!$H$10&gt;2.5,"2.Case,  b) Hollow wheel is firm, drive is the planetary gear supporter",IF(Info!$H$10&gt;1.5,"2. Fall,  b)  Hohlrad ist fest, Antrieb ist die Planetenträger",IF(Info!$H$10&gt;0.5,"2. Hal,  b) Çember sabit, Tahrik kovandan","")))</f>
        <v>2. Hal,  b) Çember sabit, Tahrik kovandan</v>
      </c>
      <c r="I30" s="193"/>
      <c r="J30" s="193"/>
      <c r="K30" s="193"/>
      <c r="L30" s="193"/>
      <c r="M30" s="193"/>
      <c r="N30" s="195" t="str">
        <f>IF(Info!$H$10&gt;2.5,"3.Case,  b) Hollow wheel is firm, drive is the sun",IF(Info!$H$10&gt;1.5,"3. Fall,  b) Die Sonne ist fest, Antrieb ist die Planetenträger",IF(Info!$H$10&gt;0.5,"3. Hal,  b) Güneş sabit, Tahrik kovandan","")))</f>
        <v>3. Hal,  b) Güneş sabit, Tahrik kovandan</v>
      </c>
      <c r="O30" s="195"/>
      <c r="P30" s="195"/>
      <c r="Q30" s="195"/>
      <c r="R30" s="195"/>
      <c r="S30" s="195"/>
    </row>
    <row r="31" spans="1:19" s="7" customFormat="1" ht="13.5" customHeight="1">
      <c r="A31" s="6"/>
      <c r="B31" s="192"/>
      <c r="C31" s="192"/>
      <c r="D31" s="192"/>
      <c r="E31" s="192"/>
      <c r="F31" s="192"/>
      <c r="G31" s="192"/>
      <c r="H31" s="193"/>
      <c r="I31" s="193"/>
      <c r="J31" s="193"/>
      <c r="K31" s="193"/>
      <c r="L31" s="193"/>
      <c r="M31" s="193"/>
      <c r="N31" s="195"/>
      <c r="O31" s="195"/>
      <c r="P31" s="195"/>
      <c r="Q31" s="195"/>
      <c r="R31" s="195"/>
      <c r="S31" s="195"/>
    </row>
    <row r="32" spans="1:19" s="7" customFormat="1" ht="13.5" customHeight="1">
      <c r="A32" s="6"/>
      <c r="C32" s="103" t="str">
        <f>C22</f>
        <v>Güneşin devir sayısı</v>
      </c>
      <c r="D32" s="115"/>
      <c r="E32" s="43"/>
      <c r="F32" s="60" t="s">
        <v>17</v>
      </c>
      <c r="G32" s="57">
        <f>G35*G34*(-1)</f>
        <v>-488.0952380952381</v>
      </c>
      <c r="H32" s="1"/>
      <c r="I32" s="30" t="str">
        <f>C22</f>
        <v>Güneşin devir sayısı</v>
      </c>
      <c r="J32" s="45"/>
      <c r="K32" s="45"/>
      <c r="L32" s="60" t="s">
        <v>17</v>
      </c>
      <c r="M32" s="57">
        <f>M36/M35</f>
        <v>408.7138095238095</v>
      </c>
      <c r="O32" s="30" t="str">
        <f>C22</f>
        <v>Güneşin devir sayısı</v>
      </c>
      <c r="P32" s="21"/>
      <c r="Q32" s="21"/>
      <c r="R32" s="60" t="s">
        <v>17</v>
      </c>
      <c r="S32" s="107">
        <v>0</v>
      </c>
    </row>
    <row r="33" spans="1:19" s="7" customFormat="1" ht="13.5" customHeight="1">
      <c r="A33" s="6"/>
      <c r="C33" s="51"/>
      <c r="D33" s="52"/>
      <c r="E33" s="53" t="str">
        <f>E23</f>
        <v>Torsiyon momenti   </v>
      </c>
      <c r="F33" s="61" t="s">
        <v>22</v>
      </c>
      <c r="G33" s="59">
        <f>G36/G34*E18*(-1)</f>
        <v>51.21951219512195</v>
      </c>
      <c r="H33" s="1"/>
      <c r="I33" s="49"/>
      <c r="J33" s="112"/>
      <c r="K33" s="50" t="str">
        <f>E23</f>
        <v>Torsiyon momenti   </v>
      </c>
      <c r="L33" s="61" t="s">
        <v>22</v>
      </c>
      <c r="M33" s="20">
        <f>M37*M35*E18</f>
        <v>30.582524271844658</v>
      </c>
      <c r="O33" s="69" t="str">
        <f>C25</f>
        <v>Çemberin devir sayısı </v>
      </c>
      <c r="P33" s="58"/>
      <c r="Q33" s="58"/>
      <c r="R33" s="62" t="s">
        <v>18</v>
      </c>
      <c r="S33" s="20">
        <f>S36*S35</f>
        <v>104.67437804878048</v>
      </c>
    </row>
    <row r="34" spans="1:19" s="7" customFormat="1" ht="13.5" customHeight="1">
      <c r="A34" s="6"/>
      <c r="C34" s="49" t="str">
        <f>IF(Info!H10&gt;2.5,"Transmission  Ring gear/Sun gear",IF(Info!H10&gt;1.5,"Übersetzung  Hohlrad/Sonne",IF(Info!H10&gt;0.5,"Çember /Güneş  çevirme oranı","")))</f>
        <v>Çember /Güneş  çevirme oranı</v>
      </c>
      <c r="D34" s="44"/>
      <c r="E34" s="44"/>
      <c r="F34" s="64" t="s">
        <v>31</v>
      </c>
      <c r="G34" s="65">
        <f>G7/G6</f>
        <v>3.9047619047619047</v>
      </c>
      <c r="H34" s="1"/>
      <c r="I34" s="12" t="str">
        <f>C25</f>
        <v>Çemberin devir sayısı </v>
      </c>
      <c r="J34" s="46"/>
      <c r="K34" s="46"/>
      <c r="L34" s="62" t="s">
        <v>18</v>
      </c>
      <c r="M34" s="108">
        <v>0</v>
      </c>
      <c r="O34" s="51"/>
      <c r="P34" s="52"/>
      <c r="Q34" s="53" t="str">
        <f>E33</f>
        <v>Torsiyon momenti   </v>
      </c>
      <c r="R34" s="70" t="s">
        <v>21</v>
      </c>
      <c r="S34" s="20">
        <f>S37/S35*E18</f>
        <v>119.41747572815534</v>
      </c>
    </row>
    <row r="35" spans="1:19" s="7" customFormat="1" ht="13.5" customHeight="1">
      <c r="A35" s="6"/>
      <c r="C35" s="109" t="str">
        <f>C25</f>
        <v>Çemberin devir sayısı </v>
      </c>
      <c r="D35" s="116"/>
      <c r="E35" s="58"/>
      <c r="F35" s="62" t="s">
        <v>18</v>
      </c>
      <c r="G35" s="26">
        <v>125</v>
      </c>
      <c r="H35" s="1"/>
      <c r="I35" s="49" t="str">
        <f>IF(Info!H10&gt;2.5,"Transmission  Planet slower/Sun gear",IF(Info!H10&gt;1.5,"Übersetzung  Hohlrad/Sonne",IF(Info!H10&gt;0.5,"Çember /Güneş  çevirme oranı","")))</f>
        <v>Çember /Güneş  çevirme oranı</v>
      </c>
      <c r="J35" s="44"/>
      <c r="K35" s="44"/>
      <c r="L35" s="64" t="s">
        <v>33</v>
      </c>
      <c r="M35" s="65">
        <f>1/(1-G11)</f>
        <v>0.20388349514563106</v>
      </c>
      <c r="O35" s="12" t="str">
        <f>IF(Info!H10&gt;2.5,"Transmission Planet slower/Ring gear",IF(Info!H10&gt;1.5,"Übersetzung  Hohlrad/Planetenträger",IF(Info!H10&gt;0.5,"Çember /Kovan  çevirme oranı","")))</f>
        <v>Çember /Kovan  çevirme oranı</v>
      </c>
      <c r="P35" s="19"/>
      <c r="Q35" s="19"/>
      <c r="R35" s="68" t="s">
        <v>35</v>
      </c>
      <c r="S35" s="20">
        <f>1-1/G11</f>
        <v>1.2560975609756098</v>
      </c>
    </row>
    <row r="36" spans="1:19" s="7" customFormat="1" ht="13.5" customHeight="1">
      <c r="A36" s="6"/>
      <c r="C36" s="51"/>
      <c r="D36" s="52"/>
      <c r="E36" s="53" t="str">
        <f>E23</f>
        <v>Torsiyon momenti   </v>
      </c>
      <c r="F36" s="61" t="s">
        <v>21</v>
      </c>
      <c r="G36" s="26">
        <v>-200</v>
      </c>
      <c r="H36" s="1"/>
      <c r="I36" s="12" t="str">
        <f>C27</f>
        <v>Kovanın devir sayısı </v>
      </c>
      <c r="J36" s="46"/>
      <c r="K36" s="46"/>
      <c r="L36" s="62" t="s">
        <v>19</v>
      </c>
      <c r="M36" s="26">
        <v>83.33</v>
      </c>
      <c r="O36" s="69" t="str">
        <f>C27</f>
        <v>Kovanın devir sayısı </v>
      </c>
      <c r="P36" s="58"/>
      <c r="Q36" s="58"/>
      <c r="R36" s="62" t="s">
        <v>19</v>
      </c>
      <c r="S36" s="26">
        <v>83.333</v>
      </c>
    </row>
    <row r="37" spans="1:19" s="7" customFormat="1" ht="13.5" customHeight="1">
      <c r="A37" s="6"/>
      <c r="C37" s="99" t="str">
        <f>C27</f>
        <v>Kovanın devir sayısı </v>
      </c>
      <c r="D37" s="46"/>
      <c r="E37" s="19"/>
      <c r="F37" s="62" t="s">
        <v>19</v>
      </c>
      <c r="G37" s="108">
        <v>0</v>
      </c>
      <c r="H37" s="1"/>
      <c r="I37" s="49"/>
      <c r="J37" s="44"/>
      <c r="K37" s="50" t="str">
        <f>E23</f>
        <v>Torsiyon momenti   </v>
      </c>
      <c r="L37" s="67" t="s">
        <v>27</v>
      </c>
      <c r="M37" s="26">
        <v>150</v>
      </c>
      <c r="O37" s="51"/>
      <c r="P37" s="52"/>
      <c r="Q37" s="53" t="str">
        <f>E23</f>
        <v>Torsiyon momenti   </v>
      </c>
      <c r="R37" s="70" t="s">
        <v>27</v>
      </c>
      <c r="S37" s="26">
        <v>150</v>
      </c>
    </row>
    <row r="38" spans="1:19" s="7" customFormat="1" ht="13.5" customHeight="1">
      <c r="A38" s="6"/>
      <c r="C38" s="49" t="str">
        <f>IF(Info!H10&gt;2.5,"Transmission  Ring gear/Planets",IF(Info!H10&gt;1.5,"Übersetzung  Hohlrad/Planeten ",IF(Info!H10&gt;0.5,"Çember/Planet çevirme oranı","")))</f>
        <v>Çember/Planet çevirme oranı</v>
      </c>
      <c r="D38" s="44"/>
      <c r="E38" s="44"/>
      <c r="F38" s="64" t="s">
        <v>32</v>
      </c>
      <c r="G38" s="20">
        <f>G7/G8</f>
        <v>2.6885245901639343</v>
      </c>
      <c r="H38" s="1"/>
      <c r="I38" s="12" t="str">
        <f>I28</f>
        <v>Güneş/Planet çevirme oranı</v>
      </c>
      <c r="J38" s="19"/>
      <c r="K38" s="19"/>
      <c r="L38" s="68" t="s">
        <v>29</v>
      </c>
      <c r="M38" s="20">
        <f>G6/G8</f>
        <v>0.6885245901639344</v>
      </c>
      <c r="O38" s="12" t="str">
        <f>O28</f>
        <v>Çember/Planet çevirme oranı</v>
      </c>
      <c r="P38" s="46"/>
      <c r="Q38" s="46"/>
      <c r="R38" s="68" t="s">
        <v>32</v>
      </c>
      <c r="S38" s="20">
        <f>G7/G8</f>
        <v>2.6885245901639343</v>
      </c>
    </row>
    <row r="39" spans="3:19" ht="13.5" customHeight="1">
      <c r="C39" s="113" t="str">
        <f>C29</f>
        <v>Planetlerin devir sayısı </v>
      </c>
      <c r="D39" s="47"/>
      <c r="E39" s="42"/>
      <c r="F39" s="63" t="s">
        <v>20</v>
      </c>
      <c r="G39" s="28">
        <f>G35*G38</f>
        <v>336.06557377049177</v>
      </c>
      <c r="H39" s="1"/>
      <c r="I39" s="41" t="str">
        <f>C29</f>
        <v>Planetlerin devir sayısı </v>
      </c>
      <c r="J39" s="47"/>
      <c r="K39" s="47"/>
      <c r="L39" s="63" t="s">
        <v>20</v>
      </c>
      <c r="M39" s="28">
        <f>M32*M38</f>
        <v>281.4095081967213</v>
      </c>
      <c r="N39" s="1"/>
      <c r="O39" s="41" t="str">
        <f>C29</f>
        <v>Planetlerin devir sayısı </v>
      </c>
      <c r="P39" s="42"/>
      <c r="Q39" s="42"/>
      <c r="R39" s="63" t="s">
        <v>20</v>
      </c>
      <c r="S39" s="28">
        <f>S33*S38</f>
        <v>281.4196393442623</v>
      </c>
    </row>
    <row r="40" spans="3:19" ht="13.5" customHeight="1">
      <c r="C40" s="48" t="str">
        <f>IF(Info!H10&gt;2.5,"Driving rpm ",IF(Info!H10&gt;1.5,"Drehzahlen   ",IF(Info!H10&gt;0.5,"Devir sayıları ","")))</f>
        <v>Devir sayıları </v>
      </c>
      <c r="D40" s="48"/>
      <c r="E40" s="117" t="str">
        <f>IF(Info!H10&gt;2.5,"1/min ",IF(Info!H10&gt;1.5,"1/min",IF(Info!H10&gt;0.5,"1/dak","")))</f>
        <v>1/dak</v>
      </c>
      <c r="F40" s="191" t="str">
        <f>IF(Info!H10&gt;2.5,"Turn is counter clockwise. Sign to be taken is minus '-'. Turn is clockwise. Sign to be taken is plus '+' . ",IF(Info!H10&gt;1.5,"Linksdrehend, gegen Uhrzeigersinn. Vorzeichen ist '-' minus zu nehmen. Rechtsdrehend,  Uhrzeigersinn. Vorzeichen ist '+'  plus zu nehmen. ",IF(Info!H10&gt;0.5,"Sola dönüş, yelkovanın ters yönü için ön işaret '-' eksi, Sağa dönüş, yelkovanın yönü için ön işaret '+' artı alınır.","")))</f>
        <v>Sola dönüş, yelkovanın ters yönü için ön işaret '-' eksi, Sağa dönüş, yelkovanın yönü için ön işaret '+' artı alınır.</v>
      </c>
      <c r="G40" s="191"/>
      <c r="H40" s="191"/>
      <c r="I40" s="191"/>
      <c r="J40" s="191"/>
      <c r="K40" s="191"/>
      <c r="L40" s="191"/>
      <c r="M40" s="191"/>
      <c r="N40" s="191"/>
      <c r="O40" s="191"/>
      <c r="P40" s="191"/>
      <c r="Q40" s="191"/>
      <c r="R40" s="191"/>
      <c r="S40" s="191"/>
    </row>
    <row r="41" spans="4:17" ht="13.5" customHeight="1">
      <c r="D41" s="1"/>
      <c r="E41" s="1"/>
      <c r="F41" s="1"/>
      <c r="G41" s="1"/>
      <c r="H41" s="1"/>
      <c r="I41" s="1"/>
      <c r="J41" s="1"/>
      <c r="K41" s="1"/>
      <c r="L41" s="1"/>
      <c r="N41" s="1"/>
      <c r="P41" s="1"/>
      <c r="Q41" s="1"/>
    </row>
    <row r="42" spans="5:17" ht="13.5" customHeight="1">
      <c r="E42" s="3"/>
      <c r="F42" s="1"/>
      <c r="G42" s="1"/>
      <c r="H42" s="1"/>
      <c r="I42" s="1"/>
      <c r="J42" s="1"/>
      <c r="K42" s="1"/>
      <c r="L42" s="1"/>
      <c r="M42" s="1"/>
      <c r="N42" s="1"/>
      <c r="O42" s="1"/>
      <c r="P42" s="1"/>
      <c r="Q42" s="1"/>
    </row>
    <row r="43" spans="8:17" ht="13.5" customHeight="1">
      <c r="H43" s="3"/>
      <c r="I43" s="3"/>
      <c r="J43" s="1"/>
      <c r="K43" s="1"/>
      <c r="L43" s="1"/>
      <c r="M43" s="1"/>
      <c r="N43" s="1"/>
      <c r="O43" s="1"/>
      <c r="P43" s="1"/>
      <c r="Q43" s="1"/>
    </row>
    <row r="44" spans="14:17" ht="13.5" customHeight="1">
      <c r="N44" s="1"/>
      <c r="O44" s="1"/>
      <c r="P44" s="1"/>
      <c r="Q44" s="1"/>
    </row>
    <row r="45" spans="14:17" ht="13.5" customHeight="1">
      <c r="N45" s="1"/>
      <c r="O45" s="1"/>
      <c r="P45" s="1"/>
      <c r="Q45" s="1"/>
    </row>
    <row r="46" spans="8:17" ht="13.5" customHeight="1">
      <c r="H46" s="3"/>
      <c r="N46" s="1"/>
      <c r="O46" s="1"/>
      <c r="P46" s="1"/>
      <c r="Q46" s="1"/>
    </row>
    <row r="47" spans="14:17" ht="13.5" customHeight="1">
      <c r="N47" s="1"/>
      <c r="O47" s="1"/>
      <c r="P47" s="1"/>
      <c r="Q47" s="1"/>
    </row>
    <row r="48" spans="8:17" ht="13.5" customHeight="1">
      <c r="H48" s="1"/>
      <c r="N48" s="1"/>
      <c r="O48" s="1"/>
      <c r="P48" s="1"/>
      <c r="Q48" s="1"/>
    </row>
    <row r="49" spans="8:17" ht="15" customHeight="1">
      <c r="H49" s="3"/>
      <c r="N49" s="1"/>
      <c r="O49" s="1"/>
      <c r="P49" s="1"/>
      <c r="Q49" s="1"/>
    </row>
    <row r="50" spans="14:17" ht="15" customHeight="1">
      <c r="N50" s="1"/>
      <c r="O50" s="1"/>
      <c r="P50" s="1"/>
      <c r="Q50" s="1"/>
    </row>
    <row r="51" spans="14:17" ht="15" customHeight="1">
      <c r="N51" s="1"/>
      <c r="O51" s="1"/>
      <c r="P51" s="1"/>
      <c r="Q51" s="1"/>
    </row>
    <row r="52" spans="14:17" ht="15" customHeight="1">
      <c r="N52" s="1"/>
      <c r="O52" s="1"/>
      <c r="P52" s="1"/>
      <c r="Q52" s="1"/>
    </row>
    <row r="53" spans="14:17" ht="15" customHeight="1">
      <c r="N53" s="1"/>
      <c r="O53" s="1"/>
      <c r="P53" s="1"/>
      <c r="Q53" s="1"/>
    </row>
  </sheetData>
  <sheetProtection password="EF77" sheet="1" objects="1" scenarios="1"/>
  <mergeCells count="8">
    <mergeCell ref="B12:F13"/>
    <mergeCell ref="F40:S40"/>
    <mergeCell ref="B30:G31"/>
    <mergeCell ref="H30:M31"/>
    <mergeCell ref="B20:G21"/>
    <mergeCell ref="H20:M21"/>
    <mergeCell ref="N20:S21"/>
    <mergeCell ref="N30:S31"/>
  </mergeCell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85" r:id="rId9"/>
  <headerFooter alignWithMargins="0">
    <oddFooter>&amp;L&amp;F / &amp;A / &amp;D&amp;R Seite &amp;P von &amp;N</oddFooter>
  </headerFooter>
  <legacyDrawing r:id="rId8"/>
  <oleObjects>
    <oleObject progId="AutoCAD.Drawing.15" shapeId="1849948" r:id="rId1"/>
    <oleObject progId="AutoCAD.Drawing.15" shapeId="384707" r:id="rId2"/>
    <oleObject progId="AutoCAD.Drawing.15" shapeId="398588" r:id="rId3"/>
    <oleObject progId="AutoCAD.Drawing.15" shapeId="398745" r:id="rId4"/>
    <oleObject progId="AutoCAD.Drawing.15" shapeId="400766" r:id="rId5"/>
    <oleObject progId="AutoCAD.Drawing.15" shapeId="680042" r:id="rId6"/>
    <oleObject progId="AutoCAD.Drawing.15" shapeId="691131" r:id="rId7"/>
  </oleObjects>
</worksheet>
</file>

<file path=xl/worksheets/sheet4.xml><?xml version="1.0" encoding="utf-8"?>
<worksheet xmlns="http://schemas.openxmlformats.org/spreadsheetml/2006/main" xmlns:r="http://schemas.openxmlformats.org/officeDocument/2006/relationships">
  <dimension ref="A1:S57"/>
  <sheetViews>
    <sheetView showGridLines="0" showRowColHeaders="0" zoomScalePageLayoutView="0" workbookViewId="0" topLeftCell="A1">
      <selection activeCell="M33" sqref="M33"/>
    </sheetView>
  </sheetViews>
  <sheetFormatPr defaultColWidth="11.421875" defaultRowHeight="15" customHeight="1"/>
  <cols>
    <col min="1" max="1" width="3.00390625" style="3" customWidth="1"/>
    <col min="2" max="4" width="8.7109375" style="3" customWidth="1"/>
    <col min="5" max="5" width="12.7109375" style="3" customWidth="1"/>
    <col min="6" max="6" width="4.7109375" style="3" customWidth="1"/>
    <col min="7" max="19" width="8.7109375" style="3" customWidth="1"/>
    <col min="20" max="20" width="3.7109375" style="3" customWidth="1"/>
    <col min="21" max="39" width="8.7109375" style="3" customWidth="1"/>
    <col min="40" max="16384" width="11.421875" style="3" customWidth="1"/>
  </cols>
  <sheetData>
    <row r="1" spans="2:18" ht="13.5" customHeight="1">
      <c r="B1" s="4" t="str">
        <f>'1.0'!B1</f>
        <v>Proje :</v>
      </c>
      <c r="C1" s="4"/>
      <c r="D1" s="25" t="s">
        <v>12</v>
      </c>
      <c r="E1" s="25"/>
      <c r="F1" s="25"/>
      <c r="G1" s="25"/>
      <c r="H1" s="1"/>
      <c r="I1" s="33"/>
      <c r="J1" s="170" t="str">
        <f>Info!B7</f>
        <v>www.guven-kutay.ch</v>
      </c>
      <c r="N1" s="4"/>
      <c r="O1" s="33"/>
      <c r="P1" s="33"/>
      <c r="R1" s="171" t="str">
        <f>Info!B9</f>
        <v>Copyright : M. G. Kutay , Ver 10.01</v>
      </c>
    </row>
    <row r="2" spans="2:16" ht="6.75" customHeight="1">
      <c r="B2" s="1"/>
      <c r="C2" s="1"/>
      <c r="D2" s="1"/>
      <c r="E2" s="1"/>
      <c r="F2" s="1"/>
      <c r="G2" s="1"/>
      <c r="H2" s="1"/>
      <c r="I2" s="33"/>
      <c r="J2" s="33"/>
      <c r="K2" s="169"/>
      <c r="N2" s="4"/>
      <c r="O2" s="33"/>
      <c r="P2" s="33"/>
    </row>
    <row r="3" spans="2:16" ht="13.5" customHeight="1">
      <c r="B3" s="34" t="str">
        <f>'1.0'!B3</f>
        <v>Kullanıldığı yer</v>
      </c>
      <c r="C3" s="34"/>
      <c r="D3" s="25" t="s">
        <v>12</v>
      </c>
      <c r="E3" s="25"/>
      <c r="F3" s="25"/>
      <c r="G3" s="25"/>
      <c r="H3" s="1"/>
      <c r="I3" s="33"/>
      <c r="J3" s="33"/>
      <c r="K3" s="4"/>
      <c r="N3" s="4"/>
      <c r="O3" s="33"/>
      <c r="P3" s="33"/>
    </row>
    <row r="4" spans="2:16" ht="6.75" customHeight="1">
      <c r="B4" s="1"/>
      <c r="C4" s="1"/>
      <c r="D4" s="1"/>
      <c r="E4" s="1"/>
      <c r="F4" s="1"/>
      <c r="G4" s="1"/>
      <c r="H4" s="1"/>
      <c r="I4" s="33"/>
      <c r="J4" s="33"/>
      <c r="K4" s="4"/>
      <c r="N4" s="4"/>
      <c r="O4" s="33"/>
      <c r="P4" s="33"/>
    </row>
    <row r="5" spans="2:16" ht="13.5" customHeight="1">
      <c r="B5" s="14" t="str">
        <f>IF(Info!H10&gt;2.5,"Base items",IF(Info!H10&gt;1.5,"Grundgrössen",IF(Info!H10&gt;0.5,"Temel değerler","")))</f>
        <v>Temel değerler</v>
      </c>
      <c r="C5" s="14"/>
      <c r="D5" s="1"/>
      <c r="E5" s="1"/>
      <c r="J5" s="33"/>
      <c r="K5" s="4"/>
      <c r="N5" s="4"/>
      <c r="O5" s="33"/>
      <c r="P5" s="33"/>
    </row>
    <row r="6" spans="2:16" ht="13.5" customHeight="1">
      <c r="B6" s="78" t="str">
        <f>'1.0'!B6</f>
        <v>Diş sayısı</v>
      </c>
      <c r="C6" s="79"/>
      <c r="D6" s="104"/>
      <c r="E6" s="80" t="str">
        <f>'1.0'!E6</f>
        <v>Güneş  </v>
      </c>
      <c r="F6" s="73" t="s">
        <v>36</v>
      </c>
      <c r="G6" s="35">
        <v>21</v>
      </c>
      <c r="H6" s="1"/>
      <c r="J6" s="33"/>
      <c r="K6" s="4"/>
      <c r="N6" s="4"/>
      <c r="O6" s="33"/>
      <c r="P6" s="33"/>
    </row>
    <row r="7" spans="2:16" ht="13.5" customHeight="1">
      <c r="B7" s="93"/>
      <c r="C7" s="94"/>
      <c r="D7" s="94"/>
      <c r="E7" s="81" t="str">
        <f>'1.0'!E7</f>
        <v>Çember  </v>
      </c>
      <c r="F7" s="74" t="s">
        <v>37</v>
      </c>
      <c r="G7" s="37">
        <v>82</v>
      </c>
      <c r="J7" s="10" t="str">
        <f>IF(G10-ROUNDDOWN(G10,0)&lt;=0,"Monte edilebilinir.","Monte edilemez. Lütfen kitaba bakınız.")</f>
        <v>Monte edilemez. Lütfen kitaba bakınız.</v>
      </c>
      <c r="K7" s="4"/>
      <c r="N7" s="4"/>
      <c r="O7" s="33"/>
      <c r="P7" s="33"/>
    </row>
    <row r="8" spans="2:16" ht="13.5" customHeight="1">
      <c r="B8" s="11" t="str">
        <f>'1.0'!B8</f>
        <v>Planet dişlinin diş sayısı</v>
      </c>
      <c r="C8" s="36"/>
      <c r="D8" s="100"/>
      <c r="E8" s="36"/>
      <c r="F8" s="74" t="s">
        <v>38</v>
      </c>
      <c r="G8" s="97">
        <f>0.5*(G7-G6)</f>
        <v>30.5</v>
      </c>
      <c r="K8" s="4"/>
      <c r="N8" s="4"/>
      <c r="O8" s="33"/>
      <c r="P8" s="33"/>
    </row>
    <row r="9" spans="2:16" ht="13.5" customHeight="1">
      <c r="B9" s="11" t="str">
        <f>'1.0'!B9</f>
        <v>Planet dişli adedi</v>
      </c>
      <c r="C9" s="100"/>
      <c r="D9" s="36"/>
      <c r="E9" s="36"/>
      <c r="F9" s="74" t="s">
        <v>39</v>
      </c>
      <c r="G9" s="37">
        <v>3</v>
      </c>
      <c r="J9" s="10" t="str">
        <f>IF(G10-ROUNDDOWN(G10,0)&lt;=0,"Montage ist möglich","Montage ist nicht möglich. Ziehe das Buch.")</f>
        <v>Montage ist nicht möglich. Ziehe das Buch.</v>
      </c>
      <c r="K9" s="4"/>
      <c r="N9" s="4"/>
      <c r="O9" s="33"/>
      <c r="P9" s="33"/>
    </row>
    <row r="10" spans="2:16" ht="13.5" customHeight="1">
      <c r="B10" s="11" t="str">
        <f>'1.0'!B10</f>
        <v>Monte edebilme kontrolü</v>
      </c>
      <c r="C10" s="100"/>
      <c r="D10" s="36"/>
      <c r="E10" s="36"/>
      <c r="F10" s="71"/>
      <c r="G10" s="101">
        <f>(G7+G6)/G9</f>
        <v>34.333333333333336</v>
      </c>
      <c r="H10" s="1"/>
      <c r="I10" s="33"/>
      <c r="J10" s="33"/>
      <c r="K10" s="4"/>
      <c r="N10" s="4"/>
      <c r="O10" s="33"/>
      <c r="P10" s="33"/>
    </row>
    <row r="11" spans="2:16" ht="13.5" customHeight="1">
      <c r="B11" s="76" t="str">
        <f>'1.0'!B11</f>
        <v>Standart çevirme oranı</v>
      </c>
      <c r="C11" s="75"/>
      <c r="D11" s="38"/>
      <c r="E11" s="77"/>
      <c r="F11" s="72" t="s">
        <v>16</v>
      </c>
      <c r="G11" s="102">
        <f>G7/G6*(-1)</f>
        <v>-3.9047619047619047</v>
      </c>
      <c r="H11" s="1"/>
      <c r="I11" s="1"/>
      <c r="J11" s="10" t="str">
        <f>IF(G10-ROUNDDOWN(G10,0)&lt;=0,"Assembly is possible","Assembly is not possible. Refer to the book ")</f>
        <v>Assembly is not possible. Refer to the book </v>
      </c>
      <c r="K11" s="33"/>
      <c r="L11" s="33"/>
      <c r="N11" s="4"/>
      <c r="O11" s="33"/>
      <c r="P11" s="33"/>
    </row>
    <row r="12" spans="1:17" ht="13.5" customHeight="1">
      <c r="A12" s="33"/>
      <c r="B12" s="189" t="str">
        <f>IF(Info!H10&gt;2.5,J11,IF(Info!H10&gt;1.5,J9,IF(Info!H10&gt;0.5,J7,"")))</f>
        <v>Monte edilemez. Lütfen kitaba bakınız.</v>
      </c>
      <c r="C12" s="189"/>
      <c r="D12" s="189"/>
      <c r="E12" s="189"/>
      <c r="F12" s="189"/>
      <c r="G12" s="196"/>
      <c r="P12" s="33"/>
      <c r="Q12" s="33"/>
    </row>
    <row r="13" spans="1:17" ht="13.5" customHeight="1">
      <c r="A13" s="33"/>
      <c r="B13" s="190"/>
      <c r="C13" s="190"/>
      <c r="D13" s="190"/>
      <c r="E13" s="190"/>
      <c r="F13" s="190"/>
      <c r="G13" s="196"/>
      <c r="P13" s="33"/>
      <c r="Q13" s="33"/>
    </row>
    <row r="14" spans="1:17" ht="13.5" customHeight="1">
      <c r="A14" s="33"/>
      <c r="P14" s="33"/>
      <c r="Q14" s="33"/>
    </row>
    <row r="15" spans="1:17" ht="13.5" customHeight="1">
      <c r="A15" s="33"/>
      <c r="P15" s="33"/>
      <c r="Q15" s="33"/>
    </row>
    <row r="16" spans="1:17" ht="13.5" customHeight="1">
      <c r="A16" s="33"/>
      <c r="B16" s="14" t="str">
        <f>'1.0'!B16</f>
        <v>Lütfen;  Planet kademesinndeki randımanı hesaplayınız.</v>
      </c>
      <c r="C16" s="7"/>
      <c r="D16" s="7"/>
      <c r="E16" s="7"/>
      <c r="F16" s="7"/>
      <c r="G16" s="7"/>
      <c r="P16" s="33"/>
      <c r="Q16" s="33"/>
    </row>
    <row r="17" spans="1:17" ht="13.5" customHeight="1">
      <c r="A17" s="33"/>
      <c r="B17" s="54" t="s">
        <v>23</v>
      </c>
      <c r="C17" s="55" t="s">
        <v>24</v>
      </c>
      <c r="D17" s="56" t="s">
        <v>25</v>
      </c>
      <c r="E17" s="56" t="s">
        <v>26</v>
      </c>
      <c r="F17" s="7"/>
      <c r="G17" s="7"/>
      <c r="P17" s="33"/>
      <c r="Q17" s="33"/>
    </row>
    <row r="18" spans="1:17" ht="13.5" customHeight="1">
      <c r="A18" s="33"/>
      <c r="B18" s="118">
        <v>0.995</v>
      </c>
      <c r="C18" s="119">
        <v>0.995</v>
      </c>
      <c r="D18" s="120">
        <v>0.96</v>
      </c>
      <c r="E18" s="120">
        <v>1</v>
      </c>
      <c r="F18" s="1"/>
      <c r="G18" s="1"/>
      <c r="P18" s="33"/>
      <c r="Q18" s="33"/>
    </row>
    <row r="19" spans="1:17" ht="13.5" customHeight="1">
      <c r="A19" s="33"/>
      <c r="P19" s="33"/>
      <c r="Q19" s="33"/>
    </row>
    <row r="20" spans="1:17" ht="13.5" customHeight="1">
      <c r="A20" s="33"/>
      <c r="P20" s="33"/>
      <c r="Q20" s="33"/>
    </row>
    <row r="21" spans="1:19" ht="13.5" customHeight="1">
      <c r="A21" s="33"/>
      <c r="B21" s="195" t="str">
        <f>IF(Info!$H$10&gt;2.5,"1.Case,  The sun is firm, drive is the hollow wheel",IF(Info!$H$10&gt;1.5,"1. Fall,  Die Sonne ist fest, Antrieb ist Hohlrad",IF(Info!$H$10&gt;0.5,"1. Hal,  Güneş sabit, Tahrik çemberden","")))</f>
        <v>1. Hal,  Güneş sabit, Tahrik çemberden</v>
      </c>
      <c r="C21" s="195"/>
      <c r="D21" s="195"/>
      <c r="E21" s="195"/>
      <c r="F21" s="195"/>
      <c r="G21" s="195"/>
      <c r="H21" s="194" t="str">
        <f>IF(Info!$H$10&gt;2.5,"2.Case,  Hollow wheel is firm, drive is the sun",IF(Info!$H$10&gt;1.5,"2. Fall,  Hohlrad ist fest, Antrieb ist die Sonne",IF(Info!$H$10&gt;0.5,"2. Hal,  Çember sabit, Tahrik güneşden","")))</f>
        <v>2. Hal,  Çember sabit, Tahrik güneşden</v>
      </c>
      <c r="I21" s="194"/>
      <c r="J21" s="194"/>
      <c r="K21" s="194"/>
      <c r="L21" s="194"/>
      <c r="M21" s="194"/>
      <c r="N21" s="195" t="str">
        <f>IF(Info!$H$10&gt;2.5,"3.Case,  Drive are the sun and hollow whell",IF(Info!$H$10&gt;1.5,"3. Fall,  Antriebe sind die Sonne und Hohlrad",IF(Info!$H$10&gt;0.5,"3. Hal,  Tahrik güneş ve çemberden","")))</f>
        <v>3. Hal,  Tahrik güneş ve çemberden</v>
      </c>
      <c r="O21" s="195"/>
      <c r="P21" s="195"/>
      <c r="Q21" s="195"/>
      <c r="R21" s="195"/>
      <c r="S21" s="195"/>
    </row>
    <row r="22" spans="1:19" ht="13.5" customHeight="1">
      <c r="A22" s="6"/>
      <c r="B22" s="195"/>
      <c r="C22" s="195"/>
      <c r="D22" s="195"/>
      <c r="E22" s="195"/>
      <c r="F22" s="195"/>
      <c r="G22" s="195"/>
      <c r="H22" s="194"/>
      <c r="I22" s="194"/>
      <c r="J22" s="194"/>
      <c r="K22" s="194"/>
      <c r="L22" s="194"/>
      <c r="M22" s="194"/>
      <c r="N22" s="195"/>
      <c r="O22" s="195"/>
      <c r="P22" s="195"/>
      <c r="Q22" s="195"/>
      <c r="R22" s="195"/>
      <c r="S22" s="195"/>
    </row>
    <row r="23" spans="1:19" ht="13.5" customHeight="1">
      <c r="A23" s="6"/>
      <c r="B23" s="7"/>
      <c r="C23" s="105" t="str">
        <f>'1.0'!C22</f>
        <v>Güneşin devir sayısı</v>
      </c>
      <c r="D23" s="106"/>
      <c r="E23" s="106"/>
      <c r="F23" s="60" t="s">
        <v>17</v>
      </c>
      <c r="G23" s="107">
        <v>0</v>
      </c>
      <c r="H23" s="7"/>
      <c r="I23" s="103" t="str">
        <f>'1.0'!C22</f>
        <v>Güneşin devir sayısı</v>
      </c>
      <c r="J23" s="104"/>
      <c r="K23" s="104"/>
      <c r="L23" s="60" t="s">
        <v>17</v>
      </c>
      <c r="M23" s="173">
        <v>1500</v>
      </c>
      <c r="N23" s="7"/>
      <c r="O23" s="103" t="str">
        <f>'1.0'!C22</f>
        <v>Güneşin devir sayısı</v>
      </c>
      <c r="P23" s="104"/>
      <c r="Q23" s="104"/>
      <c r="R23" s="60" t="s">
        <v>17</v>
      </c>
      <c r="S23" s="29">
        <v>1500</v>
      </c>
    </row>
    <row r="24" spans="1:19" ht="13.5" customHeight="1">
      <c r="A24" s="6"/>
      <c r="B24" s="7"/>
      <c r="C24" s="99" t="str">
        <f>'1.0'!C25</f>
        <v>Çemberin devir sayısı </v>
      </c>
      <c r="D24" s="100"/>
      <c r="E24" s="100"/>
      <c r="F24" s="62" t="s">
        <v>18</v>
      </c>
      <c r="G24" s="26">
        <v>2000</v>
      </c>
      <c r="H24" s="7"/>
      <c r="I24" s="51"/>
      <c r="J24" s="52"/>
      <c r="K24" s="53" t="str">
        <f>'1.0'!E23</f>
        <v>Torsiyon momenti   </v>
      </c>
      <c r="L24" s="61" t="s">
        <v>22</v>
      </c>
      <c r="M24" s="174">
        <v>100</v>
      </c>
      <c r="N24" s="7"/>
      <c r="O24" s="51"/>
      <c r="P24" s="52"/>
      <c r="Q24" s="53" t="str">
        <f>'1.0'!E23</f>
        <v>Torsiyon momenti   </v>
      </c>
      <c r="R24" s="61" t="s">
        <v>22</v>
      </c>
      <c r="S24" s="26">
        <v>100</v>
      </c>
    </row>
    <row r="25" spans="1:19" ht="13.5" customHeight="1">
      <c r="A25" s="6"/>
      <c r="B25" s="7"/>
      <c r="C25" s="49"/>
      <c r="D25" s="44"/>
      <c r="E25" s="50" t="str">
        <f>'1.0'!E23</f>
        <v>Torsiyon momenti   </v>
      </c>
      <c r="F25" s="61" t="s">
        <v>21</v>
      </c>
      <c r="G25" s="26">
        <v>5</v>
      </c>
      <c r="H25" s="7"/>
      <c r="I25" s="99" t="str">
        <f>'1.0'!C25</f>
        <v>Çemberin devir sayısı </v>
      </c>
      <c r="J25" s="100"/>
      <c r="K25" s="100"/>
      <c r="L25" s="62" t="s">
        <v>18</v>
      </c>
      <c r="M25" s="108">
        <v>0</v>
      </c>
      <c r="N25" s="7"/>
      <c r="O25" s="49" t="str">
        <f>'1.0'!C24</f>
        <v>Güneş/Çember çevirme oranı</v>
      </c>
      <c r="P25" s="44"/>
      <c r="Q25" s="44"/>
      <c r="R25" s="64" t="s">
        <v>30</v>
      </c>
      <c r="S25" s="65">
        <f>G6/G7</f>
        <v>0.25609756097560976</v>
      </c>
    </row>
    <row r="26" spans="1:19" ht="13.5" customHeight="1">
      <c r="A26" s="6"/>
      <c r="B26" s="7"/>
      <c r="C26" s="49" t="str">
        <f>'1.0'!O35</f>
        <v>Çember /Kovan  çevirme oranı</v>
      </c>
      <c r="D26" s="44"/>
      <c r="E26" s="44"/>
      <c r="F26" s="64" t="s">
        <v>34</v>
      </c>
      <c r="G26" s="65">
        <f>G11/(1-G11)</f>
        <v>-0.7961165048543688</v>
      </c>
      <c r="H26" s="7"/>
      <c r="I26" s="49" t="str">
        <f>'1.0'!I25</f>
        <v>Güneş/Kovan çevirme oranı</v>
      </c>
      <c r="J26" s="44"/>
      <c r="K26" s="44"/>
      <c r="L26" s="64" t="s">
        <v>28</v>
      </c>
      <c r="M26" s="65">
        <f>1-G11</f>
        <v>4.904761904761905</v>
      </c>
      <c r="N26" s="7"/>
      <c r="O26" s="109" t="str">
        <f>'1.0'!C25</f>
        <v>Çemberin devir sayısı </v>
      </c>
      <c r="P26" s="110"/>
      <c r="Q26" s="110"/>
      <c r="R26" s="62" t="s">
        <v>18</v>
      </c>
      <c r="S26" s="26">
        <v>2000</v>
      </c>
    </row>
    <row r="27" spans="1:19" ht="13.5" customHeight="1">
      <c r="A27" s="6"/>
      <c r="B27" s="7"/>
      <c r="C27" s="99" t="str">
        <f>'1.0'!C27</f>
        <v>Kovanın devir sayısı </v>
      </c>
      <c r="D27" s="100"/>
      <c r="E27" s="100"/>
      <c r="F27" s="62" t="s">
        <v>19</v>
      </c>
      <c r="G27" s="20">
        <f>G24*G26</f>
        <v>-1592.2330097087377</v>
      </c>
      <c r="H27" s="1"/>
      <c r="I27" s="109" t="str">
        <f>'1.0'!C27</f>
        <v>Kovanın devir sayısı </v>
      </c>
      <c r="J27" s="110"/>
      <c r="K27" s="110"/>
      <c r="L27" s="62" t="s">
        <v>19</v>
      </c>
      <c r="M27" s="20">
        <f>M23/M26</f>
        <v>305.8252427184466</v>
      </c>
      <c r="N27" s="7"/>
      <c r="O27" s="51"/>
      <c r="P27" s="52"/>
      <c r="Q27" s="53" t="str">
        <f>'1.0'!E23</f>
        <v>Torsiyon momenti   </v>
      </c>
      <c r="R27" s="61" t="s">
        <v>21</v>
      </c>
      <c r="S27" s="26">
        <v>5</v>
      </c>
    </row>
    <row r="28" spans="1:19" ht="13.5" customHeight="1">
      <c r="A28" s="6"/>
      <c r="B28" s="7"/>
      <c r="C28" s="49"/>
      <c r="D28" s="44"/>
      <c r="E28" s="50" t="str">
        <f>'1.0'!E23</f>
        <v>Torsiyon momenti   </v>
      </c>
      <c r="F28" s="61" t="s">
        <v>27</v>
      </c>
      <c r="G28" s="20">
        <f>G25*G26*E18</f>
        <v>-3.980582524271844</v>
      </c>
      <c r="H28" s="1"/>
      <c r="I28" s="51"/>
      <c r="J28" s="52"/>
      <c r="K28" s="53" t="str">
        <f>'1.0'!E23</f>
        <v>Torsiyon momenti   </v>
      </c>
      <c r="L28" s="61" t="s">
        <v>27</v>
      </c>
      <c r="M28" s="20">
        <f>M24*M26</f>
        <v>490.4761904761905</v>
      </c>
      <c r="N28" s="7"/>
      <c r="O28" s="99" t="str">
        <f>'1.0'!C27</f>
        <v>Kovanın devir sayısı </v>
      </c>
      <c r="P28" s="100"/>
      <c r="Q28" s="100"/>
      <c r="R28" s="62" t="s">
        <v>19</v>
      </c>
      <c r="S28" s="20">
        <f>(S23-G11*S26)/(1-G11)</f>
        <v>1898.0582524271842</v>
      </c>
    </row>
    <row r="29" spans="1:19" ht="13.5" customHeight="1">
      <c r="A29" s="6"/>
      <c r="B29" s="7"/>
      <c r="C29" s="49" t="str">
        <f>'1.0'!C38</f>
        <v>Çember/Planet çevirme oranı</v>
      </c>
      <c r="D29" s="44"/>
      <c r="E29" s="44"/>
      <c r="F29" s="64" t="s">
        <v>32</v>
      </c>
      <c r="G29" s="20">
        <f>G7/G8</f>
        <v>2.6885245901639343</v>
      </c>
      <c r="H29" s="1"/>
      <c r="I29" s="49" t="str">
        <f>'1.0'!C28</f>
        <v>Güneş/Planet çevirme oranı</v>
      </c>
      <c r="J29" s="44"/>
      <c r="K29" s="44"/>
      <c r="L29" s="64" t="s">
        <v>29</v>
      </c>
      <c r="M29" s="65">
        <f>G6/G8</f>
        <v>0.6885245901639344</v>
      </c>
      <c r="N29" s="7"/>
      <c r="O29" s="82"/>
      <c r="P29" s="83"/>
      <c r="Q29" s="84" t="str">
        <f>'1.0'!E23</f>
        <v>Torsiyon momenti   </v>
      </c>
      <c r="R29" s="61" t="s">
        <v>27</v>
      </c>
      <c r="S29" s="20">
        <f>M28+G28</f>
        <v>486.49560795191866</v>
      </c>
    </row>
    <row r="30" spans="1:19" ht="13.5" customHeight="1">
      <c r="A30" s="6"/>
      <c r="B30" s="7"/>
      <c r="C30" s="113" t="str">
        <f>'1.0'!C29</f>
        <v>Planetlerin devir sayısı </v>
      </c>
      <c r="D30" s="114"/>
      <c r="E30" s="114"/>
      <c r="F30" s="63" t="s">
        <v>20</v>
      </c>
      <c r="G30" s="28">
        <f>G24*G29</f>
        <v>5377.049180327868</v>
      </c>
      <c r="H30" s="1"/>
      <c r="I30" s="113" t="str">
        <f>'1.0'!C29</f>
        <v>Planetlerin devir sayısı </v>
      </c>
      <c r="J30" s="114"/>
      <c r="K30" s="114"/>
      <c r="L30" s="63" t="s">
        <v>20</v>
      </c>
      <c r="M30" s="28">
        <f>M23*M29*(-1)</f>
        <v>-1032.7868852459017</v>
      </c>
      <c r="N30" s="7"/>
      <c r="O30" s="113" t="str">
        <f>'1.0'!C29</f>
        <v>Planetlerin devir sayısı </v>
      </c>
      <c r="P30" s="114"/>
      <c r="Q30" s="114"/>
      <c r="R30" s="63" t="s">
        <v>20</v>
      </c>
      <c r="S30" s="28">
        <f>S26*G7/15-S23*G6/G8</f>
        <v>9900.546448087433</v>
      </c>
    </row>
    <row r="31" spans="1:14" ht="13.5" customHeight="1">
      <c r="A31" s="6"/>
      <c r="B31" s="7"/>
      <c r="C31" s="1"/>
      <c r="D31" s="6"/>
      <c r="E31" s="7"/>
      <c r="F31" s="7"/>
      <c r="G31" s="7"/>
      <c r="H31" s="1"/>
      <c r="I31" s="7"/>
      <c r="J31" s="6"/>
      <c r="K31" s="6"/>
      <c r="L31" s="7"/>
      <c r="M31" s="7"/>
      <c r="N31" s="7"/>
    </row>
    <row r="32" spans="1:17" ht="13.5" customHeight="1">
      <c r="A32" s="33"/>
      <c r="B32" s="1"/>
      <c r="C32" s="1"/>
      <c r="D32" s="1"/>
      <c r="E32" s="1"/>
      <c r="F32" s="1"/>
      <c r="G32" s="1"/>
      <c r="H32" s="1"/>
      <c r="I32" s="1"/>
      <c r="J32" s="33"/>
      <c r="P32" s="33"/>
      <c r="Q32" s="33"/>
    </row>
    <row r="33" spans="1:17" ht="13.5" customHeight="1">
      <c r="A33" s="33"/>
      <c r="B33" s="1"/>
      <c r="C33" s="1"/>
      <c r="D33" s="1"/>
      <c r="E33" s="1"/>
      <c r="F33" s="1"/>
      <c r="G33" s="1"/>
      <c r="H33" s="1"/>
      <c r="I33" s="1"/>
      <c r="J33" s="33"/>
      <c r="P33" s="33"/>
      <c r="Q33" s="33"/>
    </row>
    <row r="34" spans="1:17" ht="13.5" customHeight="1">
      <c r="A34" s="33"/>
      <c r="H34" s="1"/>
      <c r="I34" s="1"/>
      <c r="J34" s="33"/>
      <c r="P34" s="33"/>
      <c r="Q34" s="33"/>
    </row>
    <row r="35" spans="1:17" ht="13.5" customHeight="1">
      <c r="A35" s="33"/>
      <c r="H35" s="1"/>
      <c r="I35" s="1"/>
      <c r="J35" s="33"/>
      <c r="P35" s="33"/>
      <c r="Q35" s="33"/>
    </row>
    <row r="36" spans="1:17" ht="13.5" customHeight="1">
      <c r="A36" s="33"/>
      <c r="H36" s="1"/>
      <c r="I36" s="1"/>
      <c r="J36" s="33"/>
      <c r="P36" s="33"/>
      <c r="Q36" s="33"/>
    </row>
    <row r="37" spans="1:17" ht="13.5" customHeight="1">
      <c r="A37" s="33"/>
      <c r="H37" s="1"/>
      <c r="I37" s="1"/>
      <c r="J37" s="33"/>
      <c r="P37" s="33"/>
      <c r="Q37" s="33"/>
    </row>
    <row r="38" spans="1:17" ht="13.5" customHeight="1">
      <c r="A38" s="33"/>
      <c r="H38" s="1"/>
      <c r="I38" s="1"/>
      <c r="J38" s="33"/>
      <c r="P38" s="33"/>
      <c r="Q38" s="33"/>
    </row>
    <row r="39" spans="1:17" ht="13.5" customHeight="1">
      <c r="A39" s="33"/>
      <c r="H39" s="1"/>
      <c r="I39" s="1"/>
      <c r="J39" s="33"/>
      <c r="P39" s="33"/>
      <c r="Q39" s="33"/>
    </row>
    <row r="40" spans="1:17" ht="13.5" customHeight="1">
      <c r="A40" s="33"/>
      <c r="H40" s="1"/>
      <c r="I40" s="1"/>
      <c r="J40" s="33"/>
      <c r="P40" s="33"/>
      <c r="Q40" s="33"/>
    </row>
    <row r="41" spans="1:17" ht="13.5" customHeight="1">
      <c r="A41" s="33"/>
      <c r="H41" s="1"/>
      <c r="I41" s="1"/>
      <c r="J41" s="33"/>
      <c r="P41" s="33"/>
      <c r="Q41" s="33"/>
    </row>
    <row r="42" spans="1:17" ht="13.5" customHeight="1">
      <c r="A42" s="3" t="s">
        <v>40</v>
      </c>
      <c r="H42" s="1"/>
      <c r="I42" s="1"/>
      <c r="J42" s="33"/>
      <c r="P42" s="33"/>
      <c r="Q42" s="33"/>
    </row>
    <row r="43" spans="4:17" ht="18" customHeight="1">
      <c r="D43" s="1"/>
      <c r="E43" s="1"/>
      <c r="F43" s="1"/>
      <c r="G43" s="1"/>
      <c r="H43" s="1"/>
      <c r="I43" s="1"/>
      <c r="J43" s="1"/>
      <c r="K43" s="1"/>
      <c r="L43" s="1"/>
      <c r="M43" s="1"/>
      <c r="N43" s="1"/>
      <c r="O43" s="1"/>
      <c r="P43" s="1"/>
      <c r="Q43" s="1"/>
    </row>
    <row r="44" spans="4:17" ht="18" customHeight="1">
      <c r="D44" s="1"/>
      <c r="E44" s="1"/>
      <c r="F44" s="1"/>
      <c r="G44" s="1"/>
      <c r="H44" s="1"/>
      <c r="I44" s="1"/>
      <c r="J44" s="1"/>
      <c r="K44" s="1"/>
      <c r="L44" s="1"/>
      <c r="M44" s="1"/>
      <c r="N44" s="1"/>
      <c r="O44" s="1"/>
      <c r="P44" s="1"/>
      <c r="Q44" s="1"/>
    </row>
    <row r="45" spans="4:17" ht="18" customHeight="1">
      <c r="D45" s="1"/>
      <c r="E45" s="1"/>
      <c r="F45" s="1"/>
      <c r="G45" s="1"/>
      <c r="H45" s="1"/>
      <c r="I45" s="1"/>
      <c r="J45" s="1"/>
      <c r="K45" s="1"/>
      <c r="L45" s="1"/>
      <c r="M45" s="1"/>
      <c r="N45" s="1"/>
      <c r="O45" s="1"/>
      <c r="P45" s="1"/>
      <c r="Q45" s="1"/>
    </row>
    <row r="46" spans="6:17" ht="18" customHeight="1">
      <c r="F46" s="1"/>
      <c r="G46" s="1"/>
      <c r="H46" s="1"/>
      <c r="I46" s="1"/>
      <c r="J46" s="1"/>
      <c r="K46" s="1"/>
      <c r="L46" s="1"/>
      <c r="M46" s="1"/>
      <c r="N46" s="1"/>
      <c r="O46" s="1"/>
      <c r="P46" s="1"/>
      <c r="Q46" s="1"/>
    </row>
    <row r="47" spans="10:17" ht="15" customHeight="1">
      <c r="J47" s="1"/>
      <c r="K47" s="1"/>
      <c r="L47" s="1"/>
      <c r="M47" s="1"/>
      <c r="N47" s="1"/>
      <c r="O47" s="1"/>
      <c r="P47" s="1"/>
      <c r="Q47" s="1"/>
    </row>
    <row r="48" spans="10:17" ht="15" customHeight="1">
      <c r="J48" s="1"/>
      <c r="K48" s="1"/>
      <c r="L48" s="1"/>
      <c r="M48" s="1"/>
      <c r="N48" s="1"/>
      <c r="O48" s="1"/>
      <c r="P48" s="1"/>
      <c r="Q48" s="1"/>
    </row>
    <row r="49" spans="10:17" ht="15" customHeight="1">
      <c r="J49" s="1"/>
      <c r="K49" s="1"/>
      <c r="L49" s="1"/>
      <c r="M49" s="1"/>
      <c r="N49" s="1"/>
      <c r="O49" s="1"/>
      <c r="P49" s="1"/>
      <c r="Q49" s="1"/>
    </row>
    <row r="50" spans="10:17" ht="15" customHeight="1">
      <c r="J50" s="1"/>
      <c r="K50" s="1"/>
      <c r="L50" s="1"/>
      <c r="M50" s="1"/>
      <c r="N50" s="1"/>
      <c r="O50" s="1"/>
      <c r="P50" s="1"/>
      <c r="Q50" s="1"/>
    </row>
    <row r="51" spans="10:17" ht="15" customHeight="1">
      <c r="J51" s="1"/>
      <c r="K51" s="1"/>
      <c r="L51" s="1"/>
      <c r="M51" s="1"/>
      <c r="N51" s="1"/>
      <c r="O51" s="1"/>
      <c r="P51" s="1"/>
      <c r="Q51" s="1"/>
    </row>
    <row r="52" spans="8:17" ht="15" customHeight="1">
      <c r="H52" s="1"/>
      <c r="J52" s="1"/>
      <c r="K52" s="1"/>
      <c r="L52" s="1"/>
      <c r="M52" s="1"/>
      <c r="N52" s="1"/>
      <c r="O52" s="1"/>
      <c r="P52" s="1"/>
      <c r="Q52" s="1"/>
    </row>
    <row r="53" spans="10:17" ht="15" customHeight="1">
      <c r="J53" s="1"/>
      <c r="K53" s="1"/>
      <c r="L53" s="1"/>
      <c r="M53" s="1"/>
      <c r="N53" s="1"/>
      <c r="O53" s="1"/>
      <c r="P53" s="1"/>
      <c r="Q53" s="1"/>
    </row>
    <row r="54" spans="10:17" ht="15" customHeight="1">
      <c r="J54" s="1"/>
      <c r="K54" s="1"/>
      <c r="L54" s="1"/>
      <c r="M54" s="1"/>
      <c r="N54" s="1"/>
      <c r="O54" s="1"/>
      <c r="P54" s="1"/>
      <c r="Q54" s="1"/>
    </row>
    <row r="55" spans="10:17" ht="15" customHeight="1">
      <c r="J55" s="1"/>
      <c r="K55" s="1"/>
      <c r="L55" s="1"/>
      <c r="M55" s="1"/>
      <c r="N55" s="1"/>
      <c r="O55" s="1"/>
      <c r="P55" s="1"/>
      <c r="Q55" s="1"/>
    </row>
    <row r="56" spans="10:17" ht="15" customHeight="1">
      <c r="J56" s="1"/>
      <c r="K56" s="1"/>
      <c r="L56" s="1"/>
      <c r="M56" s="1"/>
      <c r="N56" s="1"/>
      <c r="O56" s="1"/>
      <c r="P56" s="1"/>
      <c r="Q56" s="1"/>
    </row>
    <row r="57" spans="10:17" ht="15" customHeight="1">
      <c r="J57" s="1"/>
      <c r="K57" s="1"/>
      <c r="L57" s="1"/>
      <c r="M57" s="1"/>
      <c r="N57" s="1"/>
      <c r="O57" s="1"/>
      <c r="P57" s="1"/>
      <c r="Q57" s="1"/>
    </row>
  </sheetData>
  <sheetProtection password="EF77" sheet="1" objects="1" scenarios="1"/>
  <mergeCells count="5">
    <mergeCell ref="N21:S22"/>
    <mergeCell ref="G12:G13"/>
    <mergeCell ref="B12:F13"/>
    <mergeCell ref="B21:G22"/>
    <mergeCell ref="H21:M22"/>
  </mergeCell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85" r:id="rId6"/>
  <headerFooter alignWithMargins="0">
    <oddFooter>&amp;L&amp;F / &amp;A / &amp;D&amp;R Seite &amp;P von &amp;N</oddFooter>
  </headerFooter>
  <legacyDrawing r:id="rId5"/>
  <oleObjects>
    <oleObject progId="AutoCAD.Drawing.15" shapeId="2023605" r:id="rId1"/>
    <oleObject progId="AutoCAD.Drawing.15" shapeId="2036341" r:id="rId2"/>
    <oleObject progId="AutoCAD.Drawing.15" shapeId="2036342" r:id="rId3"/>
    <oleObject progId="AutoCAD.Drawing.15" shapeId="2036343"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Kutay M.G.</dc:creator>
  <cp:keywords/>
  <dc:description/>
  <cp:lastModifiedBy>Guven</cp:lastModifiedBy>
  <cp:lastPrinted>2010-06-14T10:02:14Z</cp:lastPrinted>
  <dcterms:created xsi:type="dcterms:W3CDTF">1998-11-18T13:22:42Z</dcterms:created>
  <dcterms:modified xsi:type="dcterms:W3CDTF">2014-04-04T08:01:57Z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