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01" yWindow="65521" windowWidth="10110" windowHeight="12570" activeTab="4"/>
  </bookViews>
  <sheets>
    <sheet name="Info" sheetId="1" r:id="rId1"/>
    <sheet name="0.0" sheetId="2" r:id="rId2"/>
    <sheet name="1.0" sheetId="3" r:id="rId3"/>
    <sheet name="2.0" sheetId="4" r:id="rId4"/>
    <sheet name="3.0" sheetId="5" r:id="rId5"/>
  </sheets>
  <definedNames/>
  <calcPr fullCalcOnLoad="1"/>
</workbook>
</file>

<file path=xl/sharedStrings.xml><?xml version="1.0" encoding="utf-8"?>
<sst xmlns="http://schemas.openxmlformats.org/spreadsheetml/2006/main" count="271" uniqueCount="184">
  <si>
    <t>u</t>
  </si>
  <si>
    <t>30 - 50</t>
  </si>
  <si>
    <t>18 - 30</t>
  </si>
  <si>
    <t>DIN</t>
  </si>
  <si>
    <t xml:space="preserve">m      </t>
  </si>
  <si>
    <t xml:space="preserve">ß       </t>
  </si>
  <si>
    <t xml:space="preserve"> </t>
  </si>
  <si>
    <t xml:space="preserve">a        </t>
  </si>
  <si>
    <t>b</t>
  </si>
  <si>
    <t>js 7</t>
  </si>
  <si>
    <t>c</t>
  </si>
  <si>
    <t>js 6</t>
  </si>
  <si>
    <t>f</t>
  </si>
  <si>
    <t>24/25</t>
  </si>
  <si>
    <t>a</t>
  </si>
  <si>
    <t>e</t>
  </si>
  <si>
    <t>27/28</t>
  </si>
  <si>
    <t>js 8</t>
  </si>
  <si>
    <t>in mm</t>
  </si>
  <si>
    <t>js5</t>
  </si>
  <si>
    <t>js6</t>
  </si>
  <si>
    <t>js7</t>
  </si>
  <si>
    <t>js8</t>
  </si>
  <si>
    <t>js9</t>
  </si>
  <si>
    <t>d</t>
  </si>
  <si>
    <t>10 - 18</t>
  </si>
  <si>
    <t>c, cd</t>
  </si>
  <si>
    <t>50 - 80</t>
  </si>
  <si>
    <t>80 - 120</t>
  </si>
  <si>
    <t>120 - 180</t>
  </si>
  <si>
    <t>180 - 250</t>
  </si>
  <si>
    <t>250 - 315</t>
  </si>
  <si>
    <t>315 - 400</t>
  </si>
  <si>
    <t>400 - 500</t>
  </si>
  <si>
    <t>ab</t>
  </si>
  <si>
    <t>bc</t>
  </si>
  <si>
    <t>cd</t>
  </si>
  <si>
    <t>bis 10</t>
  </si>
  <si>
    <t>10 - 50</t>
  </si>
  <si>
    <t>50 - 125</t>
  </si>
  <si>
    <t>125 - 280</t>
  </si>
  <si>
    <t>280 - 560</t>
  </si>
  <si>
    <t>560 - 1000</t>
  </si>
  <si>
    <t>N</t>
  </si>
  <si>
    <r>
      <t>s</t>
    </r>
    <r>
      <rPr>
        <vertAlign val="subscript"/>
        <sz val="12"/>
        <rFont val="Arial"/>
        <family val="2"/>
      </rPr>
      <t>FO</t>
    </r>
  </si>
  <si>
    <r>
      <t>Y</t>
    </r>
    <r>
      <rPr>
        <vertAlign val="subscript"/>
        <sz val="10"/>
        <rFont val="Arial"/>
        <family val="2"/>
      </rPr>
      <t>ST</t>
    </r>
  </si>
  <si>
    <r>
      <t>Y</t>
    </r>
    <r>
      <rPr>
        <vertAlign val="subscript"/>
        <sz val="10"/>
        <rFont val="Arial"/>
        <family val="2"/>
      </rPr>
      <t>NT</t>
    </r>
  </si>
  <si>
    <r>
      <t>Y</t>
    </r>
    <r>
      <rPr>
        <vertAlign val="subscript"/>
        <sz val="10"/>
        <rFont val="Arial"/>
        <family val="2"/>
      </rPr>
      <t>RrelT</t>
    </r>
  </si>
  <si>
    <r>
      <t>Y</t>
    </r>
    <r>
      <rPr>
        <vertAlign val="subscript"/>
        <sz val="10"/>
        <rFont val="Arial"/>
        <family val="2"/>
      </rPr>
      <t>X</t>
    </r>
  </si>
  <si>
    <r>
      <t>N/mm</t>
    </r>
    <r>
      <rPr>
        <vertAlign val="superscript"/>
        <sz val="10"/>
        <rFont val="Arial"/>
        <family val="2"/>
      </rPr>
      <t>2</t>
    </r>
  </si>
  <si>
    <r>
      <t>E</t>
    </r>
    <r>
      <rPr>
        <vertAlign val="subscript"/>
        <sz val="12"/>
        <rFont val="Arial"/>
        <family val="2"/>
      </rPr>
      <t>dyn</t>
    </r>
  </si>
  <si>
    <r>
      <t>F</t>
    </r>
    <r>
      <rPr>
        <vertAlign val="subscript"/>
        <sz val="10"/>
        <rFont val="Arial"/>
        <family val="2"/>
      </rPr>
      <t>t</t>
    </r>
  </si>
  <si>
    <r>
      <t>Y</t>
    </r>
    <r>
      <rPr>
        <vertAlign val="subscript"/>
        <sz val="12"/>
        <rFont val="Arial"/>
        <family val="2"/>
      </rPr>
      <t>Fa</t>
    </r>
    <r>
      <rPr>
        <sz val="12"/>
        <rFont val="Arial"/>
        <family val="2"/>
      </rPr>
      <t xml:space="preserve"> </t>
    </r>
  </si>
  <si>
    <r>
      <t>Y</t>
    </r>
    <r>
      <rPr>
        <vertAlign val="subscript"/>
        <sz val="12"/>
        <rFont val="Arial"/>
        <family val="2"/>
      </rPr>
      <t>Sa</t>
    </r>
  </si>
  <si>
    <r>
      <t>Y</t>
    </r>
    <r>
      <rPr>
        <sz val="12"/>
        <rFont val="Symbol"/>
        <family val="1"/>
      </rPr>
      <t>e</t>
    </r>
  </si>
  <si>
    <r>
      <t>Y</t>
    </r>
    <r>
      <rPr>
        <vertAlign val="subscript"/>
        <sz val="12"/>
        <rFont val="Symbol"/>
        <family val="1"/>
      </rPr>
      <t>b</t>
    </r>
  </si>
  <si>
    <r>
      <t>K</t>
    </r>
    <r>
      <rPr>
        <vertAlign val="subscript"/>
        <sz val="12"/>
        <rFont val="Arial"/>
        <family val="2"/>
      </rPr>
      <t>A</t>
    </r>
  </si>
  <si>
    <r>
      <t>K</t>
    </r>
    <r>
      <rPr>
        <vertAlign val="subscript"/>
        <sz val="12"/>
        <rFont val="Arial"/>
        <family val="2"/>
      </rPr>
      <t xml:space="preserve">V </t>
    </r>
  </si>
  <si>
    <r>
      <t>Y</t>
    </r>
    <r>
      <rPr>
        <vertAlign val="subscript"/>
        <sz val="10"/>
        <rFont val="Symbol"/>
        <family val="1"/>
      </rPr>
      <t>d</t>
    </r>
    <r>
      <rPr>
        <vertAlign val="subscript"/>
        <sz val="10"/>
        <rFont val="Arial"/>
        <family val="2"/>
      </rPr>
      <t>rel</t>
    </r>
  </si>
  <si>
    <r>
      <t>s</t>
    </r>
    <r>
      <rPr>
        <vertAlign val="subscript"/>
        <sz val="12"/>
        <rFont val="Arial"/>
        <family val="2"/>
      </rPr>
      <t>HO</t>
    </r>
  </si>
  <si>
    <r>
      <t>Z</t>
    </r>
    <r>
      <rPr>
        <vertAlign val="subscript"/>
        <sz val="12"/>
        <rFont val="Symbol"/>
        <family val="1"/>
      </rPr>
      <t>e</t>
    </r>
    <r>
      <rPr>
        <sz val="12"/>
        <rFont val="Arial"/>
        <family val="2"/>
      </rPr>
      <t xml:space="preserve"> </t>
    </r>
  </si>
  <si>
    <r>
      <t>Z</t>
    </r>
    <r>
      <rPr>
        <vertAlign val="subscript"/>
        <sz val="12"/>
        <rFont val="Symbol"/>
        <family val="1"/>
      </rPr>
      <t>b</t>
    </r>
  </si>
  <si>
    <r>
      <t>K</t>
    </r>
    <r>
      <rPr>
        <vertAlign val="subscript"/>
        <sz val="12"/>
        <rFont val="Arial"/>
        <family val="2"/>
      </rPr>
      <t>H</t>
    </r>
    <r>
      <rPr>
        <vertAlign val="subscript"/>
        <sz val="12"/>
        <rFont val="Symbol"/>
        <family val="1"/>
      </rPr>
      <t>b</t>
    </r>
  </si>
  <si>
    <t>mm</t>
  </si>
  <si>
    <r>
      <t>K</t>
    </r>
    <r>
      <rPr>
        <vertAlign val="subscript"/>
        <sz val="12"/>
        <rFont val="Arial"/>
        <family val="2"/>
      </rPr>
      <t>F</t>
    </r>
    <r>
      <rPr>
        <vertAlign val="subscript"/>
        <sz val="12"/>
        <rFont val="Symbol"/>
        <family val="1"/>
      </rPr>
      <t>b</t>
    </r>
  </si>
  <si>
    <r>
      <t>s</t>
    </r>
    <r>
      <rPr>
        <vertAlign val="subscript"/>
        <sz val="12"/>
        <rFont val="Arial"/>
        <family val="2"/>
      </rPr>
      <t>HY</t>
    </r>
  </si>
  <si>
    <r>
      <t>N</t>
    </r>
    <r>
      <rPr>
        <vertAlign val="subscript"/>
        <sz val="10"/>
        <rFont val="Arial"/>
        <family val="2"/>
      </rPr>
      <t>L</t>
    </r>
  </si>
  <si>
    <r>
      <t>a</t>
    </r>
    <r>
      <rPr>
        <vertAlign val="subscript"/>
        <sz val="10"/>
        <rFont val="Arial"/>
        <family val="2"/>
      </rPr>
      <t xml:space="preserve">n </t>
    </r>
  </si>
  <si>
    <t>n</t>
  </si>
  <si>
    <r>
      <t>s</t>
    </r>
    <r>
      <rPr>
        <vertAlign val="subscript"/>
        <sz val="10"/>
        <rFont val="Arial"/>
        <family val="2"/>
      </rPr>
      <t>Flim</t>
    </r>
  </si>
  <si>
    <r>
      <t>s</t>
    </r>
    <r>
      <rPr>
        <vertAlign val="subscript"/>
        <sz val="10"/>
        <rFont val="Arial"/>
        <family val="2"/>
      </rPr>
      <t>Hlim</t>
    </r>
  </si>
  <si>
    <r>
      <t>R</t>
    </r>
    <r>
      <rPr>
        <vertAlign val="subscript"/>
        <sz val="10"/>
        <rFont val="Arial"/>
        <family val="2"/>
      </rPr>
      <t>z</t>
    </r>
  </si>
  <si>
    <t>TR</t>
  </si>
  <si>
    <t>DE</t>
  </si>
  <si>
    <t>EN</t>
  </si>
  <si>
    <t>Programı kullanırken:</t>
  </si>
  <si>
    <t>Bu programı bilgisayarınızda kendinize göre bir yere kopyasını çıkarınız. Hesap yapacağınız zaman bilgisayardaki programı kullanınız. Çünkü CD ile çalıştığınızda yaptığınız hesapları CD ye kayıt edemessiniz. CD yi emniyetli bir yerde saklayınız. Bilgisayarla yaptığınız hesapları istediğiniz yere ve istediğiniz adla kayıt edebilirsiniz.</t>
  </si>
  <si>
    <t>Kullanacağınız sayfaya gelince, hesaplamaya başlamadan önce, bütün mavi karelerdeki değerleri siliniz. Böylece dikkatsizlik yanlışı yapma imkanını ortadan kaldırmış olursunuz.</t>
  </si>
  <si>
    <t>Sıra ile mavi karelere yapacağınız hesaba ait değerleri dikkatlice yerleştiriniz. Hesaplamalarınız için gerekli olmayan mavi karelere değerler yerleştirmek yanlış hesap sonuçlarına sebep olabilir. Dikkatli olmak gereklidir.</t>
  </si>
  <si>
    <t>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t>
  </si>
  <si>
    <t>Çoğu mavi karenin çevresinde değerlerin nereden alınması gerektiğini gösteren bilgi bulunmaktadır. Bu gösterilere uyulması hesapların doğruluğu açısından çok önemlidir.</t>
  </si>
  <si>
    <t>Bazı karelere kitaptan alınması gereken bilgiler gereklidir ve nereden alınacağı tam olarak belirtilmemiştir. Bu durumda, hesapları bilinçli yapabilmek için, hesaba başlamadan önce zaman ayırıp kitapta verilen teoriyi ve gerekiyorsa başka literatürlerdende gerekli bilgileri edinmek avantajdır.</t>
  </si>
  <si>
    <t>Genel olarak her hesap sayfasının sağ alt köşesinde program sonuçları bilgisayar tarafından değerlendirilir. Bu değerlendirme bilgi sayar tarafından yapılan mekanik bir değerlendirmedir. Konstruktör bu sonuçları kendi aklı selimi, yani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t>
  </si>
  <si>
    <t>Benützung des Programmes</t>
  </si>
  <si>
    <t>Kopieren Sie dieses Programm auf Ihrem Computer, wohin Sie es wollen. Verwenden Sie bei der Berechnungen das Programm, welches Sie auf Ihrem Computer haben. Bewahren Sie Programm-CD an einem sicheren Ort auf.Die Berechnungen, die Sie in dem Programm durchführen, können Sie sie auf Ihrem Computer unter einem beliebigen Namen speichern.</t>
  </si>
  <si>
    <t>Wenn Sie die Berechnungsseite aufschlagen, bitte löschen Sie zuerst alle Werte in den blauen Feldern, damit keine Flüchtigkeitsfehler passieren können.</t>
  </si>
  <si>
    <t>Bitte geben Sie in den blauen Felder die Werte für die Berechnung sorgfältig ein. Wenn Sie ein blaue Feld für Ihre Berechnung nicht brauchen, geben Sie nichts ein (mögliche Fehlerquelle). Bitte passen Sie auf.</t>
  </si>
  <si>
    <t xml:space="preserve">Das Programm berechnet aus den blauen Feldern Berechnungsgrössen. Der Konstrukteur kann jene nach Bedarf und Anforderungen diese gleich annehmen oder entsprechend ändern. </t>
  </si>
  <si>
    <t>In der Umgebung der blauen Felder gibt es Hinweis, wo man die entsprechende Werte entnehmen kann. Es ist für die Sicherheit der Berechnungen sehr wichtig. Die Hinweise müssen befolgt werden.</t>
  </si>
  <si>
    <t>In den blauen Felder soll die Werte aus dem Buch eingetragen werden. Um sicheren Berechnungen durchzuführen, sind gute Kenntnisse des Buches notwendig (theorie Kenntnisse).</t>
  </si>
  <si>
    <t>Im Allgemeinen beurteilt das Programm die Resultate unten rechts auf dem Berechnungsblatt. Es werden nur rechnerische Werte verglichen. Das Programm beurteilt die Resultate als zulässig oder unzulässig. Der Konstrukteur muss für beide Fälle nach seinem gesunden Menschenverstand die Resultate nochmals kontrollieren, beurteilen und danach entscheiden. Das Programm ist keine Entscheidungsinstanz, sondern Entscheidungshilfe.</t>
  </si>
  <si>
    <t>Wenn Sie bei einer speziellen Aufgabe etwas brauchen, dürfen Sie jederzeit  mit mir Kontakt aufnehmen und Ihre Probleme mitteilen. Soweit ich kann,  werde ich versuchen Ihnen zu helfen.</t>
  </si>
  <si>
    <t>Using of the program</t>
  </si>
  <si>
    <t>[-]</t>
  </si>
  <si>
    <r>
      <t>n</t>
    </r>
    <r>
      <rPr>
        <vertAlign val="subscript"/>
        <sz val="10"/>
        <rFont val="Arial"/>
        <family val="2"/>
      </rPr>
      <t>1</t>
    </r>
  </si>
  <si>
    <r>
      <t>M</t>
    </r>
    <r>
      <rPr>
        <vertAlign val="subscript"/>
        <sz val="10"/>
        <rFont val="Arial"/>
        <family val="2"/>
      </rPr>
      <t>t</t>
    </r>
  </si>
  <si>
    <t>HB</t>
  </si>
  <si>
    <r>
      <t>s</t>
    </r>
    <r>
      <rPr>
        <vertAlign val="subscript"/>
        <sz val="12"/>
        <rFont val="Arial"/>
        <family val="2"/>
      </rPr>
      <t>Flim</t>
    </r>
  </si>
  <si>
    <r>
      <t>s</t>
    </r>
    <r>
      <rPr>
        <vertAlign val="subscript"/>
        <sz val="12"/>
        <rFont val="Arial"/>
        <family val="2"/>
      </rPr>
      <t>Hlim</t>
    </r>
  </si>
  <si>
    <r>
      <t>s</t>
    </r>
    <r>
      <rPr>
        <vertAlign val="subscript"/>
        <sz val="12"/>
        <rFont val="Arial"/>
        <family val="2"/>
      </rPr>
      <t>FG</t>
    </r>
  </si>
  <si>
    <r>
      <t>m</t>
    </r>
    <r>
      <rPr>
        <vertAlign val="subscript"/>
        <sz val="12"/>
        <rFont val="Arial"/>
        <family val="2"/>
      </rPr>
      <t>n</t>
    </r>
  </si>
  <si>
    <r>
      <t>Z</t>
    </r>
    <r>
      <rPr>
        <vertAlign val="subscript"/>
        <sz val="12"/>
        <rFont val="Arial"/>
        <family val="2"/>
      </rPr>
      <t>H</t>
    </r>
  </si>
  <si>
    <r>
      <t>Z</t>
    </r>
    <r>
      <rPr>
        <vertAlign val="subscript"/>
        <sz val="12"/>
        <rFont val="Arial"/>
        <family val="2"/>
      </rPr>
      <t>E</t>
    </r>
  </si>
  <si>
    <r>
      <t>K</t>
    </r>
    <r>
      <rPr>
        <vertAlign val="subscript"/>
        <sz val="12"/>
        <rFont val="Arial"/>
        <family val="2"/>
      </rPr>
      <t>H</t>
    </r>
    <r>
      <rPr>
        <vertAlign val="subscript"/>
        <sz val="12"/>
        <rFont val="Symbol"/>
        <family val="1"/>
      </rPr>
      <t>a</t>
    </r>
    <r>
      <rPr>
        <vertAlign val="subscript"/>
        <sz val="10"/>
        <rFont val="Arial"/>
        <family val="2"/>
      </rPr>
      <t xml:space="preserve"> </t>
    </r>
  </si>
  <si>
    <r>
      <t>Z</t>
    </r>
    <r>
      <rPr>
        <vertAlign val="subscript"/>
        <sz val="12"/>
        <rFont val="Arial"/>
        <family val="2"/>
      </rPr>
      <t>NT</t>
    </r>
    <r>
      <rPr>
        <vertAlign val="subscript"/>
        <sz val="10"/>
        <rFont val="Arial"/>
        <family val="2"/>
      </rPr>
      <t xml:space="preserve"> </t>
    </r>
  </si>
  <si>
    <r>
      <t>Z</t>
    </r>
    <r>
      <rPr>
        <vertAlign val="subscript"/>
        <sz val="12"/>
        <rFont val="Arial"/>
        <family val="2"/>
      </rPr>
      <t>L</t>
    </r>
  </si>
  <si>
    <r>
      <t>Z</t>
    </r>
    <r>
      <rPr>
        <vertAlign val="subscript"/>
        <sz val="12"/>
        <rFont val="Arial"/>
        <family val="2"/>
      </rPr>
      <t>V</t>
    </r>
  </si>
  <si>
    <r>
      <t>Z</t>
    </r>
    <r>
      <rPr>
        <vertAlign val="subscript"/>
        <sz val="12"/>
        <rFont val="Arial"/>
        <family val="2"/>
      </rPr>
      <t>R</t>
    </r>
  </si>
  <si>
    <r>
      <t>Z</t>
    </r>
    <r>
      <rPr>
        <vertAlign val="subscript"/>
        <sz val="12"/>
        <rFont val="Arial"/>
        <family val="2"/>
      </rPr>
      <t>W</t>
    </r>
    <r>
      <rPr>
        <vertAlign val="subscript"/>
        <sz val="10"/>
        <rFont val="Arial"/>
        <family val="2"/>
      </rPr>
      <t xml:space="preserve">  </t>
    </r>
  </si>
  <si>
    <r>
      <t>Z</t>
    </r>
    <r>
      <rPr>
        <vertAlign val="subscript"/>
        <sz val="12"/>
        <rFont val="Arial"/>
        <family val="2"/>
      </rPr>
      <t>X</t>
    </r>
    <r>
      <rPr>
        <sz val="10"/>
        <rFont val="Arial"/>
        <family val="2"/>
      </rPr>
      <t xml:space="preserve"> </t>
    </r>
  </si>
  <si>
    <r>
      <t>A</t>
    </r>
    <r>
      <rPr>
        <vertAlign val="subscript"/>
        <sz val="12"/>
        <rFont val="Arial"/>
        <family val="2"/>
      </rPr>
      <t>üWk</t>
    </r>
  </si>
  <si>
    <r>
      <t>A</t>
    </r>
    <r>
      <rPr>
        <vertAlign val="subscript"/>
        <sz val="12"/>
        <rFont val="Arial"/>
        <family val="2"/>
      </rPr>
      <t>aWk</t>
    </r>
  </si>
  <si>
    <r>
      <t>W</t>
    </r>
    <r>
      <rPr>
        <vertAlign val="subscript"/>
        <sz val="12"/>
        <rFont val="Arial"/>
        <family val="2"/>
      </rPr>
      <t>kü</t>
    </r>
  </si>
  <si>
    <r>
      <t>W</t>
    </r>
    <r>
      <rPr>
        <vertAlign val="subscript"/>
        <sz val="12"/>
        <rFont val="Arial"/>
        <family val="2"/>
      </rPr>
      <t>ka</t>
    </r>
  </si>
  <si>
    <r>
      <t>k.m</t>
    </r>
    <r>
      <rPr>
        <vertAlign val="subscript"/>
        <sz val="12"/>
        <rFont val="Arial"/>
        <family val="2"/>
      </rPr>
      <t xml:space="preserve">n </t>
    </r>
    <r>
      <rPr>
        <vertAlign val="subscript"/>
        <sz val="10"/>
        <rFont val="Arial"/>
        <family val="2"/>
      </rPr>
      <t xml:space="preserve">  </t>
    </r>
  </si>
  <si>
    <r>
      <t>a</t>
    </r>
    <r>
      <rPr>
        <vertAlign val="subscript"/>
        <sz val="12"/>
        <rFont val="Arial"/>
        <family val="2"/>
      </rPr>
      <t>wt</t>
    </r>
    <r>
      <rPr>
        <vertAlign val="subscript"/>
        <sz val="10"/>
        <rFont val="Arial"/>
        <family val="2"/>
      </rPr>
      <t xml:space="preserve">    </t>
    </r>
  </si>
  <si>
    <r>
      <t>a</t>
    </r>
    <r>
      <rPr>
        <vertAlign val="subscript"/>
        <sz val="12"/>
        <rFont val="Arial"/>
        <family val="2"/>
      </rPr>
      <t>t</t>
    </r>
    <r>
      <rPr>
        <vertAlign val="subscript"/>
        <sz val="10"/>
        <rFont val="Arial"/>
        <family val="2"/>
      </rPr>
      <t xml:space="preserve">      </t>
    </r>
  </si>
  <si>
    <r>
      <t>A</t>
    </r>
    <r>
      <rPr>
        <vertAlign val="subscript"/>
        <sz val="12"/>
        <rFont val="Arial"/>
        <family val="2"/>
      </rPr>
      <t>a</t>
    </r>
  </si>
  <si>
    <r>
      <t>A</t>
    </r>
    <r>
      <rPr>
        <vertAlign val="subscript"/>
        <sz val="10"/>
        <rFont val="Arial"/>
        <family val="2"/>
      </rPr>
      <t>a</t>
    </r>
    <r>
      <rPr>
        <sz val="10"/>
        <rFont val="Arial"/>
        <family val="2"/>
      </rPr>
      <t xml:space="preserve"> (mm)</t>
    </r>
  </si>
  <si>
    <r>
      <t>A</t>
    </r>
    <r>
      <rPr>
        <vertAlign val="subscript"/>
        <sz val="12"/>
        <rFont val="Arial"/>
        <family val="2"/>
      </rPr>
      <t>sne</t>
    </r>
  </si>
  <si>
    <r>
      <t>T</t>
    </r>
    <r>
      <rPr>
        <vertAlign val="subscript"/>
        <sz val="12"/>
        <rFont val="Arial"/>
        <family val="2"/>
      </rPr>
      <t>sn</t>
    </r>
  </si>
  <si>
    <r>
      <t>K</t>
    </r>
    <r>
      <rPr>
        <vertAlign val="subscript"/>
        <sz val="12"/>
        <rFont val="Arial"/>
        <family val="2"/>
      </rPr>
      <t>F</t>
    </r>
    <r>
      <rPr>
        <vertAlign val="subscript"/>
        <sz val="12"/>
        <rFont val="Symbol"/>
        <family val="1"/>
      </rPr>
      <t>a</t>
    </r>
  </si>
  <si>
    <t>a1</t>
  </si>
  <si>
    <t>d11</t>
  </si>
  <si>
    <t>d21</t>
  </si>
  <si>
    <r>
      <t>s</t>
    </r>
    <r>
      <rPr>
        <vertAlign val="subscript"/>
        <sz val="12"/>
        <rFont val="Arial"/>
        <family val="2"/>
      </rPr>
      <t>HG</t>
    </r>
  </si>
  <si>
    <r>
      <t>S</t>
    </r>
    <r>
      <rPr>
        <vertAlign val="subscript"/>
        <sz val="12"/>
        <rFont val="Arial"/>
        <family val="2"/>
      </rPr>
      <t>Fger</t>
    </r>
  </si>
  <si>
    <r>
      <t>S</t>
    </r>
    <r>
      <rPr>
        <vertAlign val="subscript"/>
        <sz val="12"/>
        <rFont val="Arial"/>
        <family val="2"/>
      </rPr>
      <t>Hger</t>
    </r>
  </si>
  <si>
    <r>
      <t>S</t>
    </r>
    <r>
      <rPr>
        <vertAlign val="subscript"/>
        <sz val="12"/>
        <rFont val="Arial"/>
        <family val="2"/>
      </rPr>
      <t>Hhes</t>
    </r>
  </si>
  <si>
    <r>
      <t>s</t>
    </r>
    <r>
      <rPr>
        <vertAlign val="subscript"/>
        <sz val="12"/>
        <rFont val="Arial"/>
        <family val="2"/>
      </rPr>
      <t>Fhes</t>
    </r>
  </si>
  <si>
    <r>
      <t>S</t>
    </r>
    <r>
      <rPr>
        <vertAlign val="subscript"/>
        <sz val="12"/>
        <rFont val="Arial"/>
        <family val="2"/>
      </rPr>
      <t>Fhes</t>
    </r>
  </si>
  <si>
    <r>
      <t>s</t>
    </r>
    <r>
      <rPr>
        <vertAlign val="subscript"/>
        <sz val="12"/>
        <rFont val="Arial"/>
        <family val="2"/>
      </rPr>
      <t>Hhes</t>
    </r>
  </si>
  <si>
    <r>
      <t>S</t>
    </r>
    <r>
      <rPr>
        <vertAlign val="subscript"/>
        <sz val="12"/>
        <rFont val="Arial"/>
        <family val="2"/>
      </rPr>
      <t>Fem</t>
    </r>
  </si>
  <si>
    <r>
      <t>S</t>
    </r>
    <r>
      <rPr>
        <vertAlign val="subscript"/>
        <sz val="12"/>
        <rFont val="Arial"/>
        <family val="2"/>
      </rPr>
      <t>Hem</t>
    </r>
  </si>
  <si>
    <t>3.0</t>
  </si>
  <si>
    <t>1.0</t>
  </si>
  <si>
    <t>0.0</t>
  </si>
  <si>
    <t>2.0</t>
  </si>
  <si>
    <t>sag</t>
  </si>
  <si>
    <t>sol</t>
  </si>
  <si>
    <t>42CrMo4</t>
  </si>
  <si>
    <t>- - -</t>
  </si>
  <si>
    <r>
      <t>S</t>
    </r>
    <r>
      <rPr>
        <vertAlign val="subscript"/>
        <sz val="10"/>
        <rFont val="Arial"/>
        <family val="2"/>
      </rPr>
      <t>Fhes</t>
    </r>
  </si>
  <si>
    <t>Takimtezgahı</t>
  </si>
  <si>
    <t>Takımtezgahı</t>
  </si>
  <si>
    <t>Für Deutsch, tippen Sie bitte " 2 " ein und enter.</t>
  </si>
  <si>
    <t>Türkçe için, lütfen " 1 " yaz ve "Enter" i tuşla.</t>
  </si>
  <si>
    <r>
      <t>z</t>
    </r>
    <r>
      <rPr>
        <vertAlign val="subscript"/>
        <sz val="10"/>
        <rFont val="Arial"/>
        <family val="2"/>
      </rPr>
      <t>1</t>
    </r>
    <r>
      <rPr>
        <sz val="10"/>
        <rFont val="Arial"/>
        <family val="2"/>
      </rPr>
      <t>,z</t>
    </r>
    <r>
      <rPr>
        <vertAlign val="subscript"/>
        <sz val="10"/>
        <rFont val="Arial"/>
        <family val="2"/>
      </rPr>
      <t xml:space="preserve">2 </t>
    </r>
  </si>
  <si>
    <r>
      <t>d</t>
    </r>
    <r>
      <rPr>
        <vertAlign val="subscript"/>
        <sz val="12"/>
        <rFont val="Arial"/>
        <family val="2"/>
      </rPr>
      <t>1</t>
    </r>
    <r>
      <rPr>
        <sz val="10"/>
        <rFont val="Arial"/>
        <family val="2"/>
      </rPr>
      <t>, d</t>
    </r>
    <r>
      <rPr>
        <vertAlign val="subscript"/>
        <sz val="12"/>
        <rFont val="Arial"/>
        <family val="2"/>
      </rPr>
      <t xml:space="preserve">2 </t>
    </r>
    <r>
      <rPr>
        <vertAlign val="subscript"/>
        <sz val="10"/>
        <rFont val="Arial"/>
        <family val="2"/>
      </rPr>
      <t xml:space="preserve"> </t>
    </r>
    <r>
      <rPr>
        <sz val="10"/>
        <rFont val="Arial"/>
        <family val="2"/>
      </rPr>
      <t xml:space="preserve">  </t>
    </r>
  </si>
  <si>
    <r>
      <t>x</t>
    </r>
    <r>
      <rPr>
        <vertAlign val="subscript"/>
        <sz val="12"/>
        <rFont val="Arial"/>
        <family val="2"/>
      </rPr>
      <t>1</t>
    </r>
    <r>
      <rPr>
        <sz val="10"/>
        <rFont val="Arial"/>
        <family val="2"/>
      </rPr>
      <t>, x</t>
    </r>
    <r>
      <rPr>
        <vertAlign val="subscript"/>
        <sz val="12"/>
        <rFont val="Arial"/>
        <family val="2"/>
      </rPr>
      <t>2</t>
    </r>
    <r>
      <rPr>
        <sz val="10"/>
        <rFont val="Arial"/>
        <family val="2"/>
      </rPr>
      <t xml:space="preserve"> </t>
    </r>
  </si>
  <si>
    <r>
      <t>k</t>
    </r>
    <r>
      <rPr>
        <vertAlign val="subscript"/>
        <sz val="12"/>
        <rFont val="Arial"/>
        <family val="2"/>
      </rPr>
      <t>1</t>
    </r>
    <r>
      <rPr>
        <sz val="10"/>
        <rFont val="Arial"/>
        <family val="2"/>
      </rPr>
      <t>,k</t>
    </r>
    <r>
      <rPr>
        <vertAlign val="subscript"/>
        <sz val="12"/>
        <rFont val="Arial"/>
        <family val="2"/>
      </rPr>
      <t>2</t>
    </r>
  </si>
  <si>
    <r>
      <t>W</t>
    </r>
    <r>
      <rPr>
        <vertAlign val="subscript"/>
        <sz val="10"/>
        <rFont val="Arial"/>
        <family val="2"/>
      </rPr>
      <t>k1</t>
    </r>
    <r>
      <rPr>
        <sz val="10"/>
        <rFont val="Arial"/>
        <family val="2"/>
      </rPr>
      <t>,W</t>
    </r>
    <r>
      <rPr>
        <vertAlign val="subscript"/>
        <sz val="10"/>
        <rFont val="Arial"/>
        <family val="2"/>
      </rPr>
      <t xml:space="preserve">k2 </t>
    </r>
  </si>
  <si>
    <r>
      <t>b</t>
    </r>
    <r>
      <rPr>
        <vertAlign val="subscript"/>
        <sz val="10"/>
        <rFont val="Arial"/>
        <family val="2"/>
      </rPr>
      <t>1</t>
    </r>
    <r>
      <rPr>
        <sz val="10"/>
        <rFont val="Arial"/>
        <family val="2"/>
      </rPr>
      <t>, b</t>
    </r>
    <r>
      <rPr>
        <vertAlign val="subscript"/>
        <sz val="10"/>
        <rFont val="Arial"/>
        <family val="2"/>
      </rPr>
      <t>2</t>
    </r>
    <r>
      <rPr>
        <sz val="10"/>
        <rFont val="Arial"/>
        <family val="2"/>
      </rPr>
      <t xml:space="preserve"> </t>
    </r>
  </si>
  <si>
    <r>
      <t>d</t>
    </r>
    <r>
      <rPr>
        <vertAlign val="subscript"/>
        <sz val="12"/>
        <rFont val="Arial"/>
        <family val="2"/>
      </rPr>
      <t>a1</t>
    </r>
    <r>
      <rPr>
        <sz val="10"/>
        <rFont val="Arial"/>
        <family val="2"/>
      </rPr>
      <t>,d</t>
    </r>
    <r>
      <rPr>
        <vertAlign val="subscript"/>
        <sz val="12"/>
        <rFont val="Arial"/>
        <family val="2"/>
      </rPr>
      <t>a2</t>
    </r>
    <r>
      <rPr>
        <vertAlign val="subscript"/>
        <sz val="10"/>
        <rFont val="Arial"/>
        <family val="2"/>
      </rPr>
      <t xml:space="preserve"> </t>
    </r>
  </si>
  <si>
    <r>
      <t>E</t>
    </r>
    <r>
      <rPr>
        <vertAlign val="subscript"/>
        <sz val="10"/>
        <rFont val="Arial"/>
        <family val="2"/>
      </rPr>
      <t>din</t>
    </r>
  </si>
  <si>
    <r>
      <t>m</t>
    </r>
    <r>
      <rPr>
        <vertAlign val="subscript"/>
        <sz val="12"/>
        <rFont val="Arial"/>
        <family val="2"/>
      </rPr>
      <t xml:space="preserve">t </t>
    </r>
    <r>
      <rPr>
        <sz val="12"/>
        <rFont val="Arial"/>
        <family val="2"/>
      </rPr>
      <t xml:space="preserve"> </t>
    </r>
    <r>
      <rPr>
        <sz val="10"/>
        <rFont val="Arial"/>
        <family val="2"/>
      </rPr>
      <t xml:space="preserve">     </t>
    </r>
  </si>
  <si>
    <r>
      <t>a</t>
    </r>
    <r>
      <rPr>
        <vertAlign val="subscript"/>
        <sz val="12"/>
        <rFont val="Arial"/>
        <family val="2"/>
      </rPr>
      <t>o</t>
    </r>
    <r>
      <rPr>
        <vertAlign val="subscript"/>
        <sz val="10"/>
        <rFont val="Arial"/>
        <family val="2"/>
      </rPr>
      <t xml:space="preserve"> </t>
    </r>
    <r>
      <rPr>
        <sz val="10"/>
        <rFont val="Arial"/>
        <family val="2"/>
      </rPr>
      <t xml:space="preserve">      </t>
    </r>
  </si>
  <si>
    <r>
      <t xml:space="preserve">inv </t>
    </r>
    <r>
      <rPr>
        <sz val="10"/>
        <rFont val="Arial"/>
        <family val="2"/>
      </rPr>
      <t>a</t>
    </r>
    <r>
      <rPr>
        <vertAlign val="subscript"/>
        <sz val="12"/>
        <rFont val="Arial"/>
        <family val="2"/>
      </rPr>
      <t>t</t>
    </r>
  </si>
  <si>
    <r>
      <t xml:space="preserve">inv </t>
    </r>
    <r>
      <rPr>
        <sz val="10"/>
        <rFont val="Arial"/>
        <family val="2"/>
      </rPr>
      <t>a</t>
    </r>
    <r>
      <rPr>
        <vertAlign val="subscript"/>
        <sz val="12"/>
        <rFont val="Arial"/>
        <family val="2"/>
      </rPr>
      <t>wt</t>
    </r>
  </si>
  <si>
    <r>
      <t>(x</t>
    </r>
    <r>
      <rPr>
        <vertAlign val="subscript"/>
        <sz val="12"/>
        <rFont val="Arial"/>
        <family val="2"/>
      </rPr>
      <t>1</t>
    </r>
    <r>
      <rPr>
        <sz val="10"/>
        <rFont val="Arial"/>
        <family val="2"/>
      </rPr>
      <t>+x</t>
    </r>
    <r>
      <rPr>
        <vertAlign val="subscript"/>
        <sz val="12"/>
        <rFont val="Arial"/>
        <family val="2"/>
      </rPr>
      <t>2</t>
    </r>
    <r>
      <rPr>
        <sz val="10"/>
        <rFont val="Arial"/>
        <family val="2"/>
      </rPr>
      <t>)</t>
    </r>
  </si>
  <si>
    <r>
      <t>b</t>
    </r>
    <r>
      <rPr>
        <vertAlign val="subscript"/>
        <sz val="12"/>
        <rFont val="Arial"/>
        <family val="2"/>
      </rPr>
      <t>b</t>
    </r>
    <r>
      <rPr>
        <vertAlign val="subscript"/>
        <sz val="10"/>
        <rFont val="Arial"/>
        <family val="2"/>
      </rPr>
      <t xml:space="preserve">   </t>
    </r>
    <r>
      <rPr>
        <sz val="10"/>
        <rFont val="Arial"/>
        <family val="2"/>
      </rPr>
      <t xml:space="preserve">  </t>
    </r>
  </si>
  <si>
    <r>
      <t>z</t>
    </r>
    <r>
      <rPr>
        <vertAlign val="subscript"/>
        <sz val="12"/>
        <rFont val="Arial"/>
        <family val="2"/>
      </rPr>
      <t>n1</t>
    </r>
    <r>
      <rPr>
        <sz val="10"/>
        <rFont val="Arial"/>
        <family val="2"/>
      </rPr>
      <t>, z</t>
    </r>
    <r>
      <rPr>
        <vertAlign val="subscript"/>
        <sz val="12"/>
        <rFont val="Arial"/>
        <family val="2"/>
      </rPr>
      <t xml:space="preserve">n2 </t>
    </r>
  </si>
  <si>
    <r>
      <t>d</t>
    </r>
    <r>
      <rPr>
        <vertAlign val="subscript"/>
        <sz val="12"/>
        <rFont val="Arial"/>
        <family val="2"/>
      </rPr>
      <t>b1</t>
    </r>
    <r>
      <rPr>
        <sz val="10"/>
        <rFont val="Arial"/>
        <family val="2"/>
      </rPr>
      <t>,d</t>
    </r>
    <r>
      <rPr>
        <vertAlign val="subscript"/>
        <sz val="12"/>
        <rFont val="Arial"/>
        <family val="2"/>
      </rPr>
      <t xml:space="preserve">b2 </t>
    </r>
  </si>
  <si>
    <r>
      <t>e</t>
    </r>
    <r>
      <rPr>
        <vertAlign val="subscript"/>
        <sz val="12"/>
        <rFont val="Arial"/>
        <family val="2"/>
      </rPr>
      <t>a</t>
    </r>
  </si>
  <si>
    <r>
      <t>e</t>
    </r>
    <r>
      <rPr>
        <vertAlign val="subscript"/>
        <sz val="12"/>
        <rFont val="Arial"/>
        <family val="2"/>
      </rPr>
      <t>b</t>
    </r>
  </si>
  <si>
    <t>For English, please type " 3 " and press "enter".</t>
  </si>
  <si>
    <t>Copy this program on your computer into a working directory. Employ you with that calculations the program which you have on your computer. Keep the program CD in a secure place. Perform calculations on the COPIED version of the program in your working  directory. Save your own calculations to be used with the program under a name of your choice.</t>
  </si>
  <si>
    <t>When first using the calculation page, please, erase all values in the blue fields at first to avoid mistakes.</t>
  </si>
  <si>
    <t>Please, carefully enter the values for calculation in the blue fields. If you do not need a blue field for your calculation, enter nothing (possible source of errors).</t>
  </si>
  <si>
    <t>The program performs calculation from values in the blue fields. The designer can accept immediately each as necessary and accepts the result or changes it correspondingly.</t>
  </si>
  <si>
    <t>In the environment of the blue fields, there is reference where one can accept the corresponding value. It is very important for the accuracy of the calculations. The references must be followed.</t>
  </si>
  <si>
    <t>Values for the blue fields should be taken from the book. Familiarity of the book is required to carry out accurate calculations.</t>
  </si>
  <si>
    <t>The program shows the results on the lower right on the calculation leaf. Computational values are only matched. The program judges the results as permissible or inadmissible. The designer must check the results for both cases according to his good judgment and make a decision. The program is only a decision aid.</t>
  </si>
  <si>
    <t>If you need something in the case of a specific task, you may contact me at any time and inform me of your problems. As far as I can, I will attempt to help you.</t>
  </si>
  <si>
    <t>Eğer özel bir konstruksiyonun hesabı gerekiyorsa veya öğrenmek istediğiniz bir şey varsa, hiç çekinmeden benimle temasa geçebilirsiniz. Bilgimin yettiği ve vaktimin olduğu kadar size memnuniyetle yardım ederim.</t>
  </si>
  <si>
    <t xml:space="preserve">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t>
  </si>
  <si>
    <t xml:space="preserve">Dieses Programm wurde nach bestem Wissen erstellt und entspricht dem aktuellen Stand der Technik. Für fehlerhafte Anwendung wird keine Haftung übernommen. Die Anwenderin bzw. der Anwender dieses Programmes muss die Zulässigkeit der Vereinfachungen im Einzelfall überprüfen und wenn nötig zusätzliche Berechnungen anstellen. Wenn Sie irgendeine Korrektur, Erweiterung oder Wunsch haben, können Sie sich ohne weiteres bei uns melden. </t>
  </si>
  <si>
    <t>All information in this program is factual to the author best knowledge and corresponds to the current state of the art. However, no liability is accepted for erroneous application. The user of this program must check the validity of simplifications on an individual basis and, if necessary, make appropriate calculations. Corrections, clarifications or other questions, should be sent to us.</t>
  </si>
  <si>
    <t>Bu programdaki her bilgiyi kaynak göstermek şartıyla her yerde kullanabilirsiniz. Bu programa verilecek değerleri (mavi kareler) ya bu sitedeki bilgilerden veya literatürden almalısınız.</t>
  </si>
  <si>
    <t>Die Angaben in diesem Programm dürfen mit Hinweis auf die Quelle veröffentlicht werden. Die in dieses Programm einzugebenden Daten (die blaue Felder), können entweder aus den Unterlagen auf dieser Website oder aus der Literatur entnommen werden.</t>
  </si>
  <si>
    <t>The information in this program can be published with reference to the source. The input to this program (the blue fields) can be taken either from the documents on this Web site or from literature.</t>
  </si>
  <si>
    <t>www.guven-kutay.ch</t>
  </si>
  <si>
    <t>e-mail :  info@guven-kutay.ch</t>
  </si>
  <si>
    <t>Copyright : M. G. Kutay , Ver 14.04</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</si>
</sst>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Fr.&quot;\ #,##0;[Red]&quot;Fr.&quot;\ \-#,##0"/>
    <numFmt numFmtId="181" formatCode="&quot;Fr.&quot;\ #,##0.00;[Red]&quot;Fr.&quot;\ \-#,##0.00"/>
    <numFmt numFmtId="182" formatCode="0.0"/>
    <numFmt numFmtId="183" formatCode="0.000"/>
    <numFmt numFmtId="184" formatCode="0.0000"/>
    <numFmt numFmtId="185" formatCode="0.00000"/>
    <numFmt numFmtId="186" formatCode="0.00\ &quot;mm&quot;"/>
    <numFmt numFmtId="187" formatCode="0.0\ &quot;mm&quot;"/>
    <numFmt numFmtId="188" formatCode="0.0000\ &quot;°&quot;"/>
    <numFmt numFmtId="189" formatCode="0&quot;)&quot;"/>
    <numFmt numFmtId="190" formatCode="General&quot; mm&quot;"/>
    <numFmt numFmtId="191" formatCode="0.0&quot;)**&quot;"/>
    <numFmt numFmtId="192" formatCode="0\ &quot; °&quot;"/>
    <numFmt numFmtId="193" formatCode="0&quot; mm&quot;"/>
    <numFmt numFmtId="194" formatCode="0&quot; HB&quot;"/>
    <numFmt numFmtId="195" formatCode="&quot;±&quot;0.0000&quot; mm&quot;"/>
    <numFmt numFmtId="196" formatCode="0.0&quot; µm&quot;\ "/>
    <numFmt numFmtId="197" formatCode="0.000000&quot; mm&quot;"/>
    <numFmt numFmtId="198" formatCode="0.0\ "/>
    <numFmt numFmtId="199" formatCode="0.000000&quot; °&quot;"/>
    <numFmt numFmtId="200" formatCode="0.000000"/>
    <numFmt numFmtId="201" formatCode="#0.00000\ "/>
    <numFmt numFmtId="202" formatCode="0.000&quot; mm&quot;"/>
    <numFmt numFmtId="203" formatCode="&quot;js &quot;0"/>
    <numFmt numFmtId="204" formatCode="#0.000"/>
    <numFmt numFmtId="205" formatCode="&quot;±&quot;0.0&quot; µm&quot;"/>
    <numFmt numFmtId="206" formatCode="0&quot; µm&quot;"/>
    <numFmt numFmtId="207" formatCode="&quot;0.&quot;0&quot;)&quot;"/>
    <numFmt numFmtId="208" formatCode="0.0000&quot; °&quot;"/>
    <numFmt numFmtId="209" formatCode="&quot;-&quot;000&quot; µm&quot;"/>
    <numFmt numFmtId="210" formatCode="000&quot; µm&quot;"/>
    <numFmt numFmtId="211" formatCode="#0.000000"/>
    <numFmt numFmtId="212" formatCode="0\ &quot;)&quot;"/>
    <numFmt numFmtId="213" formatCode="0\ \ &quot;*)1&quot;"/>
    <numFmt numFmtId="214" formatCode="0\ \ &quot;*)2&quot;"/>
    <numFmt numFmtId="215" formatCode="0.0\ &quot;°&quot;"/>
    <numFmt numFmtId="216" formatCode="&quot;±&quot;0.0000"/>
    <numFmt numFmtId="217" formatCode="&quot; Nmm&quot;"/>
    <numFmt numFmtId="218" formatCode="0&quot; Nmm&quot;"/>
    <numFmt numFmtId="219" formatCode="0&quot; Nm&quot;"/>
    <numFmt numFmtId="220" formatCode="0&quot; N&quot;"/>
    <numFmt numFmtId="221" formatCode="#,##0.000"/>
  </numFmts>
  <fonts count="38">
    <font>
      <sz val="10"/>
      <name val="Arial"/>
      <family val="2"/>
    </font>
    <font>
      <b/>
      <sz val="10"/>
      <name val="MS Sans Serif"/>
      <family val="0"/>
    </font>
    <font>
      <i/>
      <sz val="10"/>
      <name val="MS Sans Serif"/>
      <family val="0"/>
    </font>
    <font>
      <b/>
      <i/>
      <sz val="10"/>
      <name val="MS Sans Serif"/>
      <family val="0"/>
    </font>
    <font>
      <sz val="10"/>
      <name val="MS Sans Serif"/>
      <family val="0"/>
    </font>
    <font>
      <sz val="9.5"/>
      <name val="MS Sans Serif"/>
      <family val="2"/>
    </font>
    <font>
      <sz val="10"/>
      <color indexed="10"/>
      <name val="Arial"/>
      <family val="2"/>
    </font>
    <font>
      <b/>
      <sz val="10"/>
      <color indexed="10"/>
      <name val="Arial"/>
      <family val="2"/>
    </font>
    <font>
      <sz val="10"/>
      <color indexed="12"/>
      <name val="Arial"/>
      <family val="2"/>
    </font>
    <font>
      <b/>
      <sz val="10"/>
      <color indexed="12"/>
      <name val="Arial"/>
      <family val="2"/>
    </font>
    <font>
      <b/>
      <sz val="16"/>
      <color indexed="10"/>
      <name val="Arial"/>
      <family val="2"/>
    </font>
    <font>
      <vertAlign val="subscript"/>
      <sz val="10"/>
      <name val="Arial"/>
      <family val="2"/>
    </font>
    <font>
      <sz val="12"/>
      <name val="Symbol"/>
      <family val="1"/>
    </font>
    <font>
      <vertAlign val="subscript"/>
      <sz val="12"/>
      <name val="Arial"/>
      <family val="2"/>
    </font>
    <font>
      <vertAlign val="subscript"/>
      <sz val="10"/>
      <name val="Symbol"/>
      <family val="1"/>
    </font>
    <font>
      <vertAlign val="superscript"/>
      <sz val="10"/>
      <name val="Arial"/>
      <family val="2"/>
    </font>
    <font>
      <sz val="12"/>
      <name val="Arial"/>
      <family val="2"/>
    </font>
    <font>
      <vertAlign val="subscript"/>
      <sz val="12"/>
      <name val="Symbol"/>
      <family val="1"/>
    </font>
    <font>
      <sz val="10"/>
      <color indexed="39"/>
      <name val="Arial"/>
      <family val="2"/>
    </font>
    <font>
      <u val="single"/>
      <sz val="8.5"/>
      <color indexed="12"/>
      <name val="Arial"/>
      <family val="2"/>
    </font>
    <font>
      <u val="single"/>
      <sz val="8.5"/>
      <color indexed="36"/>
      <name val="Arial"/>
      <family val="2"/>
    </font>
    <font>
      <b/>
      <sz val="36"/>
      <color indexed="10"/>
      <name val="Arial"/>
      <family val="2"/>
    </font>
    <font>
      <b/>
      <sz val="10"/>
      <color indexed="10"/>
      <name val="MS Sans Serif"/>
      <family val="2"/>
    </font>
    <font>
      <b/>
      <sz val="12"/>
      <color indexed="10"/>
      <name val="Arial"/>
      <family val="2"/>
    </font>
    <font>
      <b/>
      <sz val="10"/>
      <color indexed="39"/>
      <name val="Arial"/>
      <family val="2"/>
    </font>
    <font>
      <b/>
      <sz val="12"/>
      <name val="MS Sans Serif"/>
      <family val="2"/>
    </font>
    <font>
      <b/>
      <sz val="12"/>
      <name val="Arial"/>
      <family val="2"/>
    </font>
    <font>
      <b/>
      <sz val="10"/>
      <color indexed="17"/>
      <name val="Arial"/>
      <family val="2"/>
    </font>
    <font>
      <b/>
      <sz val="10"/>
      <color indexed="17"/>
      <name val="MS Sans Serif"/>
      <family val="2"/>
    </font>
    <font>
      <sz val="10"/>
      <color indexed="39"/>
      <name val="MS Sans Serif"/>
      <family val="0"/>
    </font>
    <font>
      <b/>
      <sz val="10"/>
      <color indexed="39"/>
      <name val="MS Sans Serif"/>
      <family val="2"/>
    </font>
    <font>
      <b/>
      <sz val="10"/>
      <color indexed="50"/>
      <name val="Arial"/>
      <family val="2"/>
    </font>
    <font>
      <sz val="9"/>
      <color indexed="10"/>
      <name val="Arial"/>
      <family val="2"/>
    </font>
    <font>
      <b/>
      <sz val="18"/>
      <color indexed="10"/>
      <name val="MS Sans Serif"/>
      <family val="2"/>
    </font>
    <font>
      <sz val="12"/>
      <color indexed="10"/>
      <name val="Arial"/>
      <family val="2"/>
    </font>
    <font>
      <sz val="12"/>
      <color indexed="12"/>
      <name val="Arial"/>
      <family val="2"/>
    </font>
    <font>
      <sz val="12"/>
      <name val="MS Sans Serif"/>
      <family val="2"/>
    </font>
    <font>
      <b/>
      <sz val="48"/>
      <color indexed="10"/>
      <name val="Arial"/>
      <family val="2"/>
    </font>
  </fonts>
  <fills count="7">
    <fill>
      <patternFill/>
    </fill>
    <fill>
      <patternFill patternType="gray125"/>
    </fill>
    <fill>
      <patternFill patternType="lightGray">
        <fgColor indexed="13"/>
      </patternFill>
    </fill>
    <fill>
      <patternFill patternType="solid">
        <fgColor indexed="65"/>
        <bgColor indexed="64"/>
      </patternFill>
    </fill>
    <fill>
      <patternFill patternType="lightGray">
        <fgColor indexed="11"/>
      </patternFill>
    </fill>
    <fill>
      <patternFill patternType="lightGray">
        <fgColor indexed="15"/>
      </patternFill>
    </fill>
    <fill>
      <patternFill patternType="lightGray">
        <fgColor indexed="13"/>
        <bgColor indexed="9"/>
      </patternFill>
    </fill>
  </fills>
  <borders count="63">
    <border>
      <left/>
      <right/>
      <top/>
      <bottom/>
      <diagonal/>
    </border>
    <border>
      <left style="thin"/>
      <right>
        <color indexed="63"/>
      </right>
      <top style="thin"/>
      <bottom>
        <color indexed="63"/>
      </bottom>
    </border>
    <border>
      <left style="thin"/>
      <right>
        <color indexed="63"/>
      </right>
      <top style="hair"/>
      <bottom>
        <color indexed="63"/>
      </bottom>
    </border>
    <border>
      <left style="hair"/>
      <right style="thin"/>
      <top style="hair"/>
      <bottom style="thin"/>
    </border>
    <border>
      <left style="thin"/>
      <right>
        <color indexed="63"/>
      </right>
      <top style="hair"/>
      <bottom style="thin"/>
    </border>
    <border>
      <left>
        <color indexed="63"/>
      </left>
      <right>
        <color indexed="63"/>
      </right>
      <top style="thin"/>
      <bottom>
        <color indexed="63"/>
      </bottom>
    </border>
    <border>
      <left>
        <color indexed="63"/>
      </left>
      <right style="thin"/>
      <top style="hair"/>
      <bottom>
        <color indexed="63"/>
      </bottom>
    </border>
    <border>
      <left style="hair"/>
      <right style="thin"/>
      <top style="hair"/>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style="hair"/>
      <bottom style="thin"/>
    </border>
    <border>
      <left style="hair"/>
      <right>
        <color indexed="63"/>
      </right>
      <top style="hair"/>
      <bottom style="thin"/>
    </border>
    <border>
      <left style="hair"/>
      <right style="thin"/>
      <top style="hair"/>
      <bottom style="hair"/>
    </border>
    <border>
      <left style="thin"/>
      <right>
        <color indexed="63"/>
      </right>
      <top style="thin"/>
      <bottom style="hair"/>
    </border>
    <border>
      <left style="thin"/>
      <right>
        <color indexed="63"/>
      </right>
      <top style="hair"/>
      <bottom style="hair"/>
    </border>
    <border>
      <left style="hair"/>
      <right style="thin"/>
      <top style="thin"/>
      <bottom style="hair"/>
    </border>
    <border>
      <left>
        <color indexed="63"/>
      </left>
      <right>
        <color indexed="63"/>
      </right>
      <top style="thin"/>
      <bottom style="hair"/>
    </border>
    <border>
      <left style="thin"/>
      <right style="thin"/>
      <top style="thin"/>
      <bottom style="hair"/>
    </border>
    <border>
      <left style="thin"/>
      <right style="thin"/>
      <top style="hair"/>
      <bottom style="thin"/>
    </border>
    <border>
      <left style="thin"/>
      <right style="thin"/>
      <top style="hair"/>
      <bottom style="hair"/>
    </border>
    <border>
      <left style="thin"/>
      <right style="hair"/>
      <top style="thin"/>
      <bottom style="hair"/>
    </border>
    <border>
      <left style="thin"/>
      <right style="hair"/>
      <top style="hair"/>
      <bottom style="hair"/>
    </border>
    <border>
      <left>
        <color indexed="63"/>
      </left>
      <right style="thin"/>
      <top style="thin"/>
      <bottom style="hair"/>
    </border>
    <border>
      <left>
        <color indexed="63"/>
      </left>
      <right>
        <color indexed="63"/>
      </right>
      <top style="hair"/>
      <bottom style="hair"/>
    </border>
    <border>
      <left>
        <color indexed="63"/>
      </left>
      <right style="hair"/>
      <top style="hair"/>
      <bottom style="hair"/>
    </border>
    <border>
      <left style="thin"/>
      <right style="hair"/>
      <top style="hair"/>
      <bottom style="thin"/>
    </border>
    <border>
      <left>
        <color indexed="63"/>
      </left>
      <right style="thin"/>
      <top style="hair"/>
      <bottom style="hair"/>
    </border>
    <border>
      <left>
        <color indexed="63"/>
      </left>
      <right style="thin"/>
      <top style="hair"/>
      <bottom style="thin"/>
    </border>
    <border>
      <left style="thin"/>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style="hair"/>
      <top>
        <color indexed="63"/>
      </top>
      <bottom style="hair"/>
    </border>
    <border>
      <left style="hair"/>
      <right style="thin"/>
      <top>
        <color indexed="63"/>
      </top>
      <bottom style="hair"/>
    </border>
    <border>
      <left style="thin"/>
      <right style="hair"/>
      <top style="hair"/>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hair"/>
      <top style="thin"/>
      <bottom style="hair"/>
    </border>
    <border>
      <left style="hair"/>
      <right>
        <color indexed="63"/>
      </right>
      <top style="thin"/>
      <bottom>
        <color indexed="63"/>
      </bottom>
    </border>
    <border>
      <left style="hair"/>
      <right style="thin"/>
      <top style="thin"/>
      <bottom>
        <color indexed="63"/>
      </bottom>
    </border>
    <border>
      <left style="hair"/>
      <right style="thin"/>
      <top>
        <color indexed="63"/>
      </top>
      <bottom>
        <color indexed="63"/>
      </bottom>
    </border>
    <border>
      <left style="double">
        <color indexed="10"/>
      </left>
      <right>
        <color indexed="63"/>
      </right>
      <top style="double">
        <color indexed="10"/>
      </top>
      <bottom style="hair">
        <color indexed="10"/>
      </bottom>
    </border>
    <border>
      <left>
        <color indexed="63"/>
      </left>
      <right>
        <color indexed="63"/>
      </right>
      <top style="double">
        <color indexed="10"/>
      </top>
      <bottom style="hair">
        <color indexed="10"/>
      </bottom>
    </border>
    <border>
      <left>
        <color indexed="63"/>
      </left>
      <right style="double">
        <color indexed="10"/>
      </right>
      <top style="double">
        <color indexed="10"/>
      </top>
      <bottom style="hair">
        <color indexed="10"/>
      </bottom>
    </border>
    <border>
      <left style="double">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color indexed="63"/>
      </left>
      <right style="double">
        <color indexed="10"/>
      </right>
      <top style="hair">
        <color indexed="10"/>
      </top>
      <bottom style="hair">
        <color indexed="10"/>
      </bottom>
    </border>
    <border>
      <left style="double">
        <color indexed="10"/>
      </left>
      <right>
        <color indexed="63"/>
      </right>
      <top style="hair">
        <color indexed="10"/>
      </top>
      <bottom style="double">
        <color indexed="10"/>
      </bottom>
    </border>
    <border>
      <left>
        <color indexed="63"/>
      </left>
      <right>
        <color indexed="63"/>
      </right>
      <top style="hair">
        <color indexed="10"/>
      </top>
      <bottom style="double">
        <color indexed="10"/>
      </bottom>
    </border>
    <border>
      <left>
        <color indexed="63"/>
      </left>
      <right style="double">
        <color indexed="10"/>
      </right>
      <top style="hair">
        <color indexed="10"/>
      </top>
      <bottom style="double">
        <color indexed="10"/>
      </bottom>
    </border>
    <border>
      <left style="double">
        <color indexed="10"/>
      </left>
      <right>
        <color indexed="63"/>
      </right>
      <top style="double">
        <color indexed="10"/>
      </top>
      <bottom style="double">
        <color indexed="10"/>
      </bottom>
    </border>
    <border>
      <left style="double">
        <color indexed="10"/>
      </left>
      <right style="double">
        <color indexed="10"/>
      </right>
      <top style="double">
        <color indexed="10"/>
      </top>
      <bottom>
        <color indexed="63"/>
      </bottom>
    </border>
    <border>
      <left style="double">
        <color indexed="10"/>
      </left>
      <right style="double">
        <color indexed="10"/>
      </right>
      <top>
        <color indexed="63"/>
      </top>
      <bottom>
        <color indexed="63"/>
      </bottom>
    </border>
    <border>
      <left style="double">
        <color indexed="10"/>
      </left>
      <right style="double">
        <color indexed="10"/>
      </right>
      <top>
        <color indexed="63"/>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color indexed="63"/>
      </left>
      <right>
        <color indexed="63"/>
      </right>
      <top style="double">
        <color indexed="10"/>
      </top>
      <bottom>
        <color indexed="63"/>
      </bottom>
    </border>
    <border>
      <left>
        <color indexed="63"/>
      </left>
      <right style="hair"/>
      <top>
        <color indexed="63"/>
      </top>
      <bottom>
        <color indexed="63"/>
      </bottom>
    </border>
    <border>
      <left>
        <color indexed="63"/>
      </left>
      <right style="hair"/>
      <top style="hair"/>
      <bottom style="thin"/>
    </border>
    <border>
      <left style="hair"/>
      <right>
        <color indexed="63"/>
      </right>
      <top style="thin"/>
      <bottom style="hair"/>
    </border>
    <border>
      <left style="hair"/>
      <right>
        <color indexed="63"/>
      </right>
      <top style="hair"/>
      <bottom style="hair"/>
    </border>
    <border>
      <left style="thin"/>
      <right style="hair"/>
      <top style="thin"/>
      <bottom>
        <color indexed="63"/>
      </bottom>
    </border>
    <border>
      <left style="hair"/>
      <right style="hair"/>
      <top style="thin"/>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19" fillId="0" borderId="0" applyNumberFormat="0" applyFill="0" applyBorder="0" applyAlignment="0" applyProtection="0"/>
    <xf numFmtId="9" fontId="4" fillId="0" borderId="0" applyFont="0" applyFill="0" applyBorder="0" applyAlignment="0" applyProtection="0"/>
    <xf numFmtId="181" fontId="4" fillId="0" borderId="0" applyFont="0" applyFill="0" applyBorder="0" applyAlignment="0" applyProtection="0"/>
    <xf numFmtId="180" fontId="4" fillId="0" borderId="0" applyFont="0" applyFill="0" applyBorder="0" applyAlignment="0" applyProtection="0"/>
  </cellStyleXfs>
  <cellXfs count="456">
    <xf numFmtId="0" fontId="0" fillId="0" borderId="0" xfId="0" applyAlignment="1">
      <alignment/>
    </xf>
    <xf numFmtId="0" fontId="0" fillId="0" borderId="0" xfId="0" applyAlignment="1" applyProtection="1">
      <alignment/>
      <protection hidden="1"/>
    </xf>
    <xf numFmtId="0" fontId="4"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protection hidden="1"/>
    </xf>
    <xf numFmtId="0" fontId="0" fillId="0" borderId="0" xfId="0" applyAlignment="1" applyProtection="1">
      <alignment horizontal="left"/>
      <protection hidden="1"/>
    </xf>
    <xf numFmtId="0" fontId="0" fillId="0" borderId="0" xfId="0" applyFont="1" applyAlignment="1" applyProtection="1">
      <alignment vertical="center"/>
      <protection hidden="1"/>
    </xf>
    <xf numFmtId="0" fontId="6" fillId="2" borderId="0" xfId="0" applyFont="1" applyFill="1" applyAlignment="1" applyProtection="1" quotePrefix="1">
      <alignment horizontal="left" vertical="center"/>
      <protection hidden="1"/>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0" fillId="0" borderId="1" xfId="0" applyFont="1" applyBorder="1" applyAlignment="1" applyProtection="1">
      <alignment vertical="center"/>
      <protection hidden="1"/>
    </xf>
    <xf numFmtId="0" fontId="6" fillId="0" borderId="0" xfId="0" applyFont="1" applyAlignment="1" applyProtection="1" quotePrefix="1">
      <alignment horizontal="left" vertical="center"/>
      <protection hidden="1"/>
    </xf>
    <xf numFmtId="183" fontId="6" fillId="0" borderId="2" xfId="0" applyNumberFormat="1" applyFont="1" applyBorder="1" applyAlignment="1" applyProtection="1">
      <alignment horizontal="centerContinuous" vertical="center"/>
      <protection hidden="1"/>
    </xf>
    <xf numFmtId="183" fontId="6" fillId="0" borderId="3" xfId="0" applyNumberFormat="1" applyFont="1" applyFill="1" applyBorder="1" applyAlignment="1" applyProtection="1">
      <alignment horizontal="center" vertical="center"/>
      <protection hidden="1"/>
    </xf>
    <xf numFmtId="0" fontId="8" fillId="0" borderId="0" xfId="0" applyFont="1" applyAlignment="1" applyProtection="1">
      <alignment vertical="center"/>
      <protection hidden="1"/>
    </xf>
    <xf numFmtId="0" fontId="0" fillId="0" borderId="4" xfId="0" applyFont="1" applyBorder="1" applyAlignment="1" applyProtection="1">
      <alignment vertical="center"/>
      <protection hidden="1"/>
    </xf>
    <xf numFmtId="0" fontId="0" fillId="0" borderId="0" xfId="0" applyFont="1" applyAlignment="1" applyProtection="1">
      <alignment/>
      <protection hidden="1"/>
    </xf>
    <xf numFmtId="0" fontId="0" fillId="0" borderId="0" xfId="0" applyFont="1" applyAlignment="1" applyProtection="1">
      <alignment vertical="center"/>
      <protection hidden="1"/>
    </xf>
    <xf numFmtId="0" fontId="0" fillId="0" borderId="1" xfId="0" applyFont="1" applyBorder="1" applyAlignment="1" applyProtection="1">
      <alignment vertical="center"/>
      <protection hidden="1"/>
    </xf>
    <xf numFmtId="0" fontId="0" fillId="0" borderId="5" xfId="0" applyFont="1" applyBorder="1" applyAlignment="1" applyProtection="1">
      <alignment vertical="center"/>
      <protection hidden="1"/>
    </xf>
    <xf numFmtId="0" fontId="0" fillId="0" borderId="6" xfId="0" applyFont="1" applyBorder="1" applyAlignment="1" applyProtection="1">
      <alignment vertical="center"/>
      <protection hidden="1"/>
    </xf>
    <xf numFmtId="0" fontId="6" fillId="2" borderId="0" xfId="0" applyFont="1" applyFill="1" applyAlignment="1" applyProtection="1">
      <alignment horizontal="left" vertical="center"/>
      <protection hidden="1"/>
    </xf>
    <xf numFmtId="0" fontId="6" fillId="3" borderId="0" xfId="0" applyFont="1" applyFill="1" applyBorder="1" applyAlignment="1" applyProtection="1" quotePrefix="1">
      <alignment horizontal="left" vertical="center"/>
      <protection hidden="1"/>
    </xf>
    <xf numFmtId="0" fontId="0" fillId="3" borderId="2" xfId="0" applyFont="1" applyFill="1" applyBorder="1" applyAlignment="1" applyProtection="1">
      <alignment vertical="center"/>
      <protection hidden="1"/>
    </xf>
    <xf numFmtId="0" fontId="0" fillId="3" borderId="6" xfId="0" applyFont="1" applyFill="1" applyBorder="1" applyAlignment="1" applyProtection="1" quotePrefix="1">
      <alignment horizontal="left" vertical="center"/>
      <protection hidden="1"/>
    </xf>
    <xf numFmtId="0" fontId="0" fillId="3" borderId="2" xfId="0" applyFont="1" applyFill="1" applyBorder="1" applyAlignment="1" applyProtection="1" quotePrefix="1">
      <alignment horizontal="left" vertical="center"/>
      <protection hidden="1"/>
    </xf>
    <xf numFmtId="0" fontId="0" fillId="3" borderId="2" xfId="0" applyFont="1" applyFill="1" applyBorder="1" applyAlignment="1" applyProtection="1">
      <alignment horizontal="left" vertical="center"/>
      <protection hidden="1"/>
    </xf>
    <xf numFmtId="202" fontId="6" fillId="0" borderId="2" xfId="0" applyNumberFormat="1" applyFont="1" applyFill="1" applyBorder="1" applyAlignment="1" applyProtection="1">
      <alignment horizontal="centerContinuous" vertical="center"/>
      <protection hidden="1"/>
    </xf>
    <xf numFmtId="202" fontId="6" fillId="0" borderId="7" xfId="0" applyNumberFormat="1" applyFont="1" applyFill="1" applyBorder="1" applyAlignment="1" applyProtection="1">
      <alignment horizontal="centerContinuous" vertical="center"/>
      <protection hidden="1"/>
    </xf>
    <xf numFmtId="1" fontId="6" fillId="0" borderId="2" xfId="0" applyNumberFormat="1" applyFont="1" applyFill="1" applyBorder="1" applyAlignment="1" applyProtection="1">
      <alignment horizontal="centerContinuous" vertical="center"/>
      <protection hidden="1"/>
    </xf>
    <xf numFmtId="1" fontId="6" fillId="0" borderId="7" xfId="0" applyNumberFormat="1" applyFont="1" applyFill="1" applyBorder="1" applyAlignment="1" applyProtection="1">
      <alignment horizontal="centerContinuous" vertical="center"/>
      <protection hidden="1"/>
    </xf>
    <xf numFmtId="0" fontId="0" fillId="3" borderId="8" xfId="0" applyFont="1" applyFill="1" applyBorder="1" applyAlignment="1" applyProtection="1">
      <alignment vertical="center"/>
      <protection hidden="1"/>
    </xf>
    <xf numFmtId="0" fontId="0" fillId="0" borderId="0" xfId="0" applyFont="1" applyAlignment="1" applyProtection="1">
      <alignment horizontal="left" vertical="center"/>
      <protection hidden="1"/>
    </xf>
    <xf numFmtId="0" fontId="0" fillId="4" borderId="2" xfId="0" applyFont="1" applyFill="1" applyBorder="1" applyAlignment="1" applyProtection="1">
      <alignment vertical="center"/>
      <protection hidden="1"/>
    </xf>
    <xf numFmtId="0" fontId="0" fillId="4" borderId="9" xfId="0" applyFont="1" applyFill="1" applyBorder="1" applyAlignment="1" applyProtection="1">
      <alignment horizontal="centerContinuous" vertical="center"/>
      <protection hidden="1"/>
    </xf>
    <xf numFmtId="0" fontId="0" fillId="4" borderId="7" xfId="0" applyFont="1" applyFill="1" applyBorder="1" applyAlignment="1" applyProtection="1">
      <alignment horizontal="centerContinuous" vertical="center"/>
      <protection hidden="1"/>
    </xf>
    <xf numFmtId="0" fontId="0" fillId="0" borderId="2" xfId="0" applyFont="1" applyFill="1" applyBorder="1" applyAlignment="1" applyProtection="1">
      <alignment vertical="center"/>
      <protection hidden="1"/>
    </xf>
    <xf numFmtId="0" fontId="0" fillId="4" borderId="2" xfId="0" applyFont="1" applyFill="1" applyBorder="1" applyAlignment="1" applyProtection="1" quotePrefix="1">
      <alignment horizontal="centerContinuous" vertical="center"/>
      <protection hidden="1"/>
    </xf>
    <xf numFmtId="205" fontId="0" fillId="4" borderId="9" xfId="0" applyNumberFormat="1" applyFont="1" applyFill="1" applyBorder="1" applyAlignment="1" applyProtection="1">
      <alignment horizontal="centerContinuous" vertical="center"/>
      <protection hidden="1"/>
    </xf>
    <xf numFmtId="205" fontId="0" fillId="4" borderId="7" xfId="0" applyNumberFormat="1" applyFont="1" applyFill="1" applyBorder="1" applyAlignment="1" applyProtection="1">
      <alignment horizontal="centerContinuous" vertical="center"/>
      <protection hidden="1"/>
    </xf>
    <xf numFmtId="183" fontId="6" fillId="0" borderId="7" xfId="0" applyNumberFormat="1" applyFont="1" applyBorder="1" applyAlignment="1" applyProtection="1">
      <alignment horizontal="centerContinuous" vertical="center"/>
      <protection hidden="1"/>
    </xf>
    <xf numFmtId="209" fontId="8" fillId="5" borderId="2" xfId="0" applyNumberFormat="1" applyFont="1" applyFill="1" applyBorder="1" applyAlignment="1" applyProtection="1">
      <alignment horizontal="centerContinuous" vertical="center"/>
      <protection locked="0"/>
    </xf>
    <xf numFmtId="209" fontId="8" fillId="5" borderId="7" xfId="0" applyNumberFormat="1" applyFont="1" applyFill="1" applyBorder="1" applyAlignment="1" applyProtection="1">
      <alignment horizontal="centerContinuous" vertical="center"/>
      <protection locked="0"/>
    </xf>
    <xf numFmtId="204" fontId="6" fillId="0" borderId="7" xfId="0" applyNumberFormat="1" applyFont="1" applyFill="1" applyBorder="1" applyAlignment="1" applyProtection="1">
      <alignment horizontal="centerContinuous" vertical="center"/>
      <protection hidden="1"/>
    </xf>
    <xf numFmtId="204" fontId="6" fillId="0" borderId="3" xfId="0" applyNumberFormat="1" applyFont="1" applyFill="1" applyBorder="1" applyAlignment="1" applyProtection="1">
      <alignment horizontal="centerContinuous" vertical="center"/>
      <protection hidden="1"/>
    </xf>
    <xf numFmtId="206" fontId="0" fillId="4" borderId="9" xfId="0" applyNumberFormat="1" applyFont="1" applyFill="1" applyBorder="1" applyAlignment="1" applyProtection="1">
      <alignment horizontal="centerContinuous" vertical="center"/>
      <protection hidden="1"/>
    </xf>
    <xf numFmtId="0" fontId="6" fillId="3" borderId="0" xfId="0" applyFont="1" applyFill="1" applyBorder="1" applyAlignment="1" applyProtection="1">
      <alignment horizontal="left" vertical="center"/>
      <protection hidden="1"/>
    </xf>
    <xf numFmtId="0" fontId="6" fillId="0" borderId="0" xfId="0" applyFont="1" applyAlignment="1" applyProtection="1">
      <alignment horizontal="center" vertical="center"/>
      <protection hidden="1"/>
    </xf>
    <xf numFmtId="0" fontId="0" fillId="4" borderId="10" xfId="0" applyFont="1" applyFill="1" applyBorder="1" applyAlignment="1" applyProtection="1">
      <alignment vertical="center"/>
      <protection hidden="1"/>
    </xf>
    <xf numFmtId="0" fontId="0" fillId="0" borderId="10" xfId="0" applyFont="1" applyFill="1" applyBorder="1" applyAlignment="1" applyProtection="1">
      <alignment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right" vertical="center"/>
      <protection hidden="1"/>
    </xf>
    <xf numFmtId="2" fontId="8" fillId="5" borderId="2" xfId="0" applyNumberFormat="1" applyFont="1" applyFill="1" applyBorder="1" applyAlignment="1" applyProtection="1">
      <alignment horizontal="centerContinuous" vertical="center"/>
      <protection locked="0"/>
    </xf>
    <xf numFmtId="0" fontId="0" fillId="0" borderId="0" xfId="0" applyAlignment="1" applyProtection="1">
      <alignment horizontal="center" vertical="center"/>
      <protection hidden="1"/>
    </xf>
    <xf numFmtId="210" fontId="8" fillId="5" borderId="2" xfId="0" applyNumberFormat="1" applyFont="1" applyFill="1" applyBorder="1" applyAlignment="1" applyProtection="1">
      <alignment horizontal="centerContinuous" vertical="center"/>
      <protection locked="0"/>
    </xf>
    <xf numFmtId="210" fontId="8" fillId="5" borderId="7" xfId="0" applyNumberFormat="1" applyFont="1" applyFill="1" applyBorder="1" applyAlignment="1" applyProtection="1">
      <alignment horizontal="centerContinuous" vertical="center"/>
      <protection locked="0"/>
    </xf>
    <xf numFmtId="0" fontId="0" fillId="4" borderId="9" xfId="0" applyFont="1" applyFill="1" applyBorder="1" applyAlignment="1" applyProtection="1">
      <alignment horizontal="center" vertical="center"/>
      <protection hidden="1"/>
    </xf>
    <xf numFmtId="206" fontId="0" fillId="4" borderId="9" xfId="0" applyNumberFormat="1" applyFont="1" applyFill="1" applyBorder="1" applyAlignment="1" applyProtection="1">
      <alignment horizontal="center" vertical="center"/>
      <protection hidden="1"/>
    </xf>
    <xf numFmtId="206" fontId="0" fillId="4" borderId="7" xfId="0" applyNumberFormat="1" applyFont="1" applyFill="1" applyBorder="1" applyAlignment="1" applyProtection="1">
      <alignment horizontal="center" vertical="center"/>
      <protection hidden="1"/>
    </xf>
    <xf numFmtId="0" fontId="0" fillId="0" borderId="0" xfId="0" applyFont="1" applyAlignment="1" applyProtection="1">
      <alignment horizontal="center"/>
      <protection hidden="1"/>
    </xf>
    <xf numFmtId="0" fontId="0" fillId="0" borderId="4" xfId="0" applyFont="1" applyFill="1" applyBorder="1" applyAlignment="1" applyProtection="1">
      <alignment vertical="center"/>
      <protection hidden="1"/>
    </xf>
    <xf numFmtId="0" fontId="0" fillId="0" borderId="11" xfId="0" applyFont="1" applyFill="1" applyBorder="1" applyAlignment="1" applyProtection="1">
      <alignment vertical="center"/>
      <protection hidden="1"/>
    </xf>
    <xf numFmtId="0" fontId="0" fillId="0" borderId="2" xfId="0" applyFont="1" applyFill="1" applyBorder="1" applyAlignment="1" applyProtection="1" quotePrefix="1">
      <alignment horizontal="left" vertical="center"/>
      <protection hidden="1"/>
    </xf>
    <xf numFmtId="0" fontId="0" fillId="0" borderId="8" xfId="0" applyFont="1" applyFill="1" applyBorder="1" applyAlignment="1" applyProtection="1">
      <alignment horizontal="center" vertical="center"/>
      <protection hidden="1"/>
    </xf>
    <xf numFmtId="0" fontId="0" fillId="0" borderId="2" xfId="0" applyFont="1" applyFill="1" applyBorder="1" applyAlignment="1" applyProtection="1" quotePrefix="1">
      <alignment horizontal="centerContinuous" vertical="center"/>
      <protection hidden="1"/>
    </xf>
    <xf numFmtId="205" fontId="0" fillId="0" borderId="9" xfId="0" applyNumberFormat="1" applyFont="1" applyFill="1" applyBorder="1" applyAlignment="1" applyProtection="1">
      <alignment horizontal="centerContinuous" vertical="center"/>
      <protection hidden="1"/>
    </xf>
    <xf numFmtId="205" fontId="0" fillId="0" borderId="7" xfId="0" applyNumberFormat="1" applyFont="1" applyFill="1" applyBorder="1" applyAlignment="1" applyProtection="1">
      <alignment horizontal="centerContinuous" vertical="center"/>
      <protection hidden="1"/>
    </xf>
    <xf numFmtId="0" fontId="0" fillId="0" borderId="2" xfId="0" applyFont="1" applyFill="1" applyBorder="1" applyAlignment="1" applyProtection="1">
      <alignment horizontal="centerContinuous" vertical="center"/>
      <protection hidden="1"/>
    </xf>
    <xf numFmtId="206" fontId="0" fillId="0" borderId="9" xfId="0" applyNumberFormat="1" applyFont="1" applyFill="1" applyBorder="1" applyAlignment="1" applyProtection="1">
      <alignment horizontal="centerContinuous" vertical="center"/>
      <protection hidden="1"/>
    </xf>
    <xf numFmtId="206" fontId="0" fillId="0" borderId="9" xfId="0" applyNumberFormat="1" applyFont="1" applyFill="1" applyBorder="1" applyAlignment="1" applyProtection="1">
      <alignment horizontal="center" vertical="center"/>
      <protection hidden="1"/>
    </xf>
    <xf numFmtId="206" fontId="0" fillId="0" borderId="7" xfId="0" applyNumberFormat="1" applyFont="1" applyFill="1" applyBorder="1" applyAlignment="1" applyProtection="1">
      <alignment horizontal="center" vertical="center"/>
      <protection hidden="1"/>
    </xf>
    <xf numFmtId="0" fontId="0" fillId="4" borderId="4" xfId="0" applyFont="1" applyFill="1" applyBorder="1" applyAlignment="1" applyProtection="1" quotePrefix="1">
      <alignment horizontal="centerContinuous" vertical="center"/>
      <protection hidden="1"/>
    </xf>
    <xf numFmtId="205" fontId="0" fillId="4" borderId="12" xfId="0" applyNumberFormat="1" applyFont="1" applyFill="1" applyBorder="1" applyAlignment="1" applyProtection="1">
      <alignment horizontal="centerContinuous" vertical="center"/>
      <protection hidden="1"/>
    </xf>
    <xf numFmtId="205" fontId="0" fillId="4" borderId="3" xfId="0" applyNumberFormat="1" applyFont="1" applyFill="1" applyBorder="1" applyAlignment="1" applyProtection="1">
      <alignment horizontal="centerContinuous" vertical="center"/>
      <protection hidden="1"/>
    </xf>
    <xf numFmtId="0" fontId="0" fillId="4" borderId="7" xfId="0" applyFont="1" applyFill="1" applyBorder="1" applyAlignment="1" applyProtection="1">
      <alignment horizontal="center" vertical="center"/>
      <protection hidden="1"/>
    </xf>
    <xf numFmtId="206" fontId="0" fillId="4" borderId="12" xfId="0" applyNumberFormat="1" applyFont="1" applyFill="1" applyBorder="1" applyAlignment="1" applyProtection="1">
      <alignment horizontal="centerContinuous" vertical="center"/>
      <protection hidden="1"/>
    </xf>
    <xf numFmtId="206" fontId="0" fillId="4" borderId="12" xfId="0" applyNumberFormat="1" applyFont="1" applyFill="1" applyBorder="1" applyAlignment="1" applyProtection="1">
      <alignment horizontal="center" vertical="center"/>
      <protection hidden="1"/>
    </xf>
    <xf numFmtId="206" fontId="0" fillId="4" borderId="3" xfId="0" applyNumberFormat="1" applyFont="1" applyFill="1" applyBorder="1" applyAlignment="1" applyProtection="1">
      <alignment horizontal="center" vertical="center"/>
      <protection hidden="1"/>
    </xf>
    <xf numFmtId="1" fontId="0" fillId="4" borderId="9" xfId="0" applyNumberFormat="1" applyFont="1" applyFill="1" applyBorder="1" applyAlignment="1" applyProtection="1">
      <alignment horizontal="centerContinuous" vertical="center"/>
      <protection hidden="1"/>
    </xf>
    <xf numFmtId="1" fontId="0" fillId="4" borderId="9" xfId="0" applyNumberFormat="1" applyFont="1" applyFill="1" applyBorder="1" applyAlignment="1" applyProtection="1">
      <alignment horizontal="center" vertical="center"/>
      <protection hidden="1"/>
    </xf>
    <xf numFmtId="1" fontId="0" fillId="4" borderId="7" xfId="0" applyNumberFormat="1" applyFont="1" applyFill="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211" fontId="6" fillId="0" borderId="7" xfId="0" applyNumberFormat="1" applyFont="1" applyFill="1" applyBorder="1" applyAlignment="1" applyProtection="1">
      <alignment horizontal="centerContinuous" vertical="center"/>
      <protection hidden="1"/>
    </xf>
    <xf numFmtId="204" fontId="6" fillId="0" borderId="2" xfId="0" applyNumberFormat="1" applyFont="1" applyFill="1" applyBorder="1" applyAlignment="1" applyProtection="1">
      <alignment horizontal="centerContinuous" vertical="center"/>
      <protection hidden="1"/>
    </xf>
    <xf numFmtId="204" fontId="6" fillId="0" borderId="4" xfId="0" applyNumberFormat="1" applyFont="1" applyFill="1" applyBorder="1" applyAlignment="1" applyProtection="1">
      <alignment horizontal="centerContinuous" vertical="center"/>
      <protection hidden="1"/>
    </xf>
    <xf numFmtId="2" fontId="6" fillId="0" borderId="13" xfId="0" applyNumberFormat="1" applyFont="1" applyFill="1" applyBorder="1" applyAlignment="1" applyProtection="1">
      <alignment horizontal="center" vertical="center"/>
      <protection hidden="1"/>
    </xf>
    <xf numFmtId="0" fontId="0" fillId="0" borderId="14" xfId="0" applyFont="1" applyBorder="1" applyAlignment="1" applyProtection="1">
      <alignment vertical="center"/>
      <protection hidden="1"/>
    </xf>
    <xf numFmtId="0" fontId="0" fillId="0" borderId="15" xfId="0" applyFont="1" applyBorder="1" applyAlignment="1" applyProtection="1">
      <alignment vertical="center"/>
      <protection hidden="1"/>
    </xf>
    <xf numFmtId="1" fontId="6" fillId="0" borderId="16" xfId="0" applyNumberFormat="1" applyFont="1" applyFill="1" applyBorder="1" applyAlignment="1" applyProtection="1">
      <alignment horizontal="centerContinuous" vertical="center"/>
      <protection hidden="1"/>
    </xf>
    <xf numFmtId="0" fontId="0" fillId="0" borderId="17" xfId="0" applyFont="1" applyBorder="1" applyAlignment="1" applyProtection="1">
      <alignment horizontal="center" vertical="center"/>
      <protection hidden="1"/>
    </xf>
    <xf numFmtId="1" fontId="6" fillId="2" borderId="16" xfId="0" applyNumberFormat="1" applyFont="1" applyFill="1" applyBorder="1" applyAlignment="1" applyProtection="1">
      <alignment horizontal="centerContinuous" vertical="center"/>
      <protection hidden="1"/>
    </xf>
    <xf numFmtId="1" fontId="6" fillId="2" borderId="13" xfId="0" applyNumberFormat="1" applyFont="1" applyFill="1" applyBorder="1" applyAlignment="1" applyProtection="1">
      <alignment horizontal="centerContinuous" vertical="center"/>
      <protection hidden="1"/>
    </xf>
    <xf numFmtId="1" fontId="7" fillId="4" borderId="16" xfId="0" applyNumberFormat="1" applyFont="1" applyFill="1" applyBorder="1" applyAlignment="1" applyProtection="1">
      <alignment horizontal="centerContinuous" vertical="center"/>
      <protection hidden="1"/>
    </xf>
    <xf numFmtId="0" fontId="0" fillId="0" borderId="0" xfId="0" applyAlignment="1" applyProtection="1">
      <alignment horizontal="left" vertical="center"/>
      <protection hidden="1"/>
    </xf>
    <xf numFmtId="1" fontId="7" fillId="4" borderId="18" xfId="0" applyNumberFormat="1" applyFont="1" applyFill="1" applyBorder="1" applyAlignment="1" applyProtection="1">
      <alignment horizontal="centerContinuous" vertical="center"/>
      <protection hidden="1"/>
    </xf>
    <xf numFmtId="183" fontId="6" fillId="2" borderId="19" xfId="0" applyNumberFormat="1" applyFont="1" applyFill="1" applyBorder="1" applyAlignment="1" applyProtection="1">
      <alignment horizontal="centerContinuous" vertical="center"/>
      <protection hidden="1"/>
    </xf>
    <xf numFmtId="183" fontId="6" fillId="2" borderId="18" xfId="0" applyNumberFormat="1" applyFont="1" applyFill="1" applyBorder="1" applyAlignment="1" applyProtection="1">
      <alignment horizontal="centerContinuous" vertical="center"/>
      <protection hidden="1"/>
    </xf>
    <xf numFmtId="182" fontId="6" fillId="2" borderId="20" xfId="0" applyNumberFormat="1" applyFont="1" applyFill="1" applyBorder="1" applyAlignment="1" applyProtection="1">
      <alignment horizontal="centerContinuous" vertical="center"/>
      <protection hidden="1"/>
    </xf>
    <xf numFmtId="1" fontId="6" fillId="2" borderId="21" xfId="0" applyNumberFormat="1" applyFont="1" applyFill="1" applyBorder="1" applyAlignment="1" applyProtection="1">
      <alignment horizontal="centerContinuous" vertical="center"/>
      <protection hidden="1"/>
    </xf>
    <xf numFmtId="1" fontId="6" fillId="2" borderId="22" xfId="0" applyNumberFormat="1" applyFont="1" applyFill="1" applyBorder="1" applyAlignment="1" applyProtection="1">
      <alignment horizontal="centerContinuous" vertical="center"/>
      <protection hidden="1"/>
    </xf>
    <xf numFmtId="1" fontId="6" fillId="0" borderId="21" xfId="0" applyNumberFormat="1" applyFont="1" applyFill="1" applyBorder="1" applyAlignment="1" applyProtection="1">
      <alignment horizontal="centerContinuous" vertical="center"/>
      <protection hidden="1"/>
    </xf>
    <xf numFmtId="1" fontId="7" fillId="4" borderId="21" xfId="0" applyNumberFormat="1" applyFont="1" applyFill="1" applyBorder="1" applyAlignment="1" applyProtection="1">
      <alignment horizontal="centerContinuous" vertical="center"/>
      <protection hidden="1"/>
    </xf>
    <xf numFmtId="0" fontId="0" fillId="0" borderId="15" xfId="0" applyFont="1" applyBorder="1" applyAlignment="1" applyProtection="1">
      <alignment vertical="center"/>
      <protection hidden="1"/>
    </xf>
    <xf numFmtId="1" fontId="7" fillId="2" borderId="18" xfId="0" applyNumberFormat="1" applyFont="1" applyFill="1" applyBorder="1" applyAlignment="1" applyProtection="1">
      <alignment horizontal="centerContinuous" vertical="center"/>
      <protection hidden="1"/>
    </xf>
    <xf numFmtId="3" fontId="7" fillId="4" borderId="21" xfId="0" applyNumberFormat="1" applyFont="1" applyFill="1" applyBorder="1" applyAlignment="1" applyProtection="1">
      <alignment horizontal="centerContinuous" vertical="center"/>
      <protection hidden="1"/>
    </xf>
    <xf numFmtId="3" fontId="7" fillId="4" borderId="16" xfId="0" applyNumberFormat="1" applyFont="1" applyFill="1" applyBorder="1" applyAlignment="1" applyProtection="1">
      <alignment horizontal="centerContinuous" vertical="center"/>
      <protection hidden="1"/>
    </xf>
    <xf numFmtId="0" fontId="0" fillId="0" borderId="23" xfId="0" applyFont="1" applyBorder="1" applyAlignment="1" applyProtection="1">
      <alignment horizontal="center" vertical="center"/>
      <protection hidden="1"/>
    </xf>
    <xf numFmtId="0" fontId="7" fillId="0" borderId="0" xfId="0" applyFont="1" applyAlignment="1" applyProtection="1">
      <alignment vertical="center"/>
      <protection hidden="1"/>
    </xf>
    <xf numFmtId="0" fontId="24" fillId="0" borderId="0" xfId="0" applyFont="1" applyAlignment="1" applyProtection="1">
      <alignment vertical="center"/>
      <protection hidden="1"/>
    </xf>
    <xf numFmtId="16" fontId="22" fillId="0" borderId="0" xfId="0" applyNumberFormat="1" applyFont="1" applyAlignment="1" applyProtection="1" quotePrefix="1">
      <alignment vertical="center"/>
      <protection hidden="1"/>
    </xf>
    <xf numFmtId="0" fontId="16" fillId="0" borderId="0" xfId="0" applyFont="1" applyAlignment="1" applyProtection="1">
      <alignment horizontal="left" vertical="center"/>
      <protection hidden="1"/>
    </xf>
    <xf numFmtId="0" fontId="23" fillId="0" borderId="0" xfId="0" applyFont="1" applyAlignment="1" applyProtection="1">
      <alignment/>
      <protection hidden="1"/>
    </xf>
    <xf numFmtId="0" fontId="0" fillId="0" borderId="24"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4" xfId="0" applyFont="1" applyBorder="1" applyAlignment="1" applyProtection="1">
      <alignment horizontal="left" vertical="center"/>
      <protection hidden="1"/>
    </xf>
    <xf numFmtId="0" fontId="0" fillId="0" borderId="1" xfId="0" applyFont="1" applyBorder="1" applyAlignment="1" applyProtection="1">
      <alignment horizontal="left" vertical="center"/>
      <protection hidden="1"/>
    </xf>
    <xf numFmtId="0" fontId="0" fillId="0" borderId="15" xfId="0" applyFont="1" applyBorder="1" applyAlignment="1" applyProtection="1">
      <alignment horizontal="left" vertical="center"/>
      <protection hidden="1"/>
    </xf>
    <xf numFmtId="0" fontId="0" fillId="0" borderId="0" xfId="0" applyAlignment="1" applyProtection="1">
      <alignment/>
      <protection hidden="1"/>
    </xf>
    <xf numFmtId="2" fontId="7" fillId="4" borderId="21" xfId="0" applyNumberFormat="1" applyFont="1" applyFill="1" applyBorder="1" applyAlignment="1" applyProtection="1">
      <alignment horizontal="centerContinuous" vertical="center"/>
      <protection hidden="1"/>
    </xf>
    <xf numFmtId="2" fontId="7" fillId="4" borderId="16" xfId="0" applyNumberFormat="1" applyFont="1" applyFill="1" applyBorder="1" applyAlignment="1" applyProtection="1">
      <alignment horizontal="centerContinuous" vertical="center"/>
      <protection hidden="1"/>
    </xf>
    <xf numFmtId="0" fontId="0" fillId="0" borderId="0" xfId="0" applyFont="1" applyBorder="1" applyAlignment="1" applyProtection="1">
      <alignment horizontal="center" vertical="center"/>
      <protection hidden="1"/>
    </xf>
    <xf numFmtId="0" fontId="0" fillId="0" borderId="25" xfId="0" applyFont="1" applyBorder="1" applyAlignment="1" applyProtection="1">
      <alignment vertical="center"/>
      <protection hidden="1"/>
    </xf>
    <xf numFmtId="0" fontId="28" fillId="0" borderId="0" xfId="0" applyFont="1" applyAlignment="1" applyProtection="1">
      <alignment horizontal="left" vertical="center"/>
      <protection hidden="1"/>
    </xf>
    <xf numFmtId="0" fontId="0" fillId="0" borderId="17" xfId="0" applyFont="1" applyBorder="1" applyAlignment="1" applyProtection="1">
      <alignment horizontal="left"/>
      <protection hidden="1"/>
    </xf>
    <xf numFmtId="0" fontId="12" fillId="3" borderId="24" xfId="0" applyFont="1" applyFill="1" applyBorder="1" applyAlignment="1" applyProtection="1" quotePrefix="1">
      <alignment horizontal="left"/>
      <protection hidden="1"/>
    </xf>
    <xf numFmtId="0" fontId="12" fillId="0" borderId="17" xfId="0" applyFont="1" applyFill="1" applyBorder="1" applyAlignment="1" applyProtection="1" quotePrefix="1">
      <alignment horizontal="left"/>
      <protection hidden="1"/>
    </xf>
    <xf numFmtId="0" fontId="16" fillId="3" borderId="24" xfId="0" applyFont="1" applyFill="1" applyBorder="1" applyAlignment="1" applyProtection="1" quotePrefix="1">
      <alignment horizontal="left"/>
      <protection hidden="1"/>
    </xf>
    <xf numFmtId="0" fontId="16" fillId="3" borderId="11" xfId="0" applyFont="1" applyFill="1" applyBorder="1" applyAlignment="1" applyProtection="1">
      <alignment horizontal="left"/>
      <protection hidden="1"/>
    </xf>
    <xf numFmtId="0" fontId="0" fillId="0" borderId="0" xfId="0" applyFont="1" applyBorder="1" applyAlignment="1" applyProtection="1">
      <alignment horizontal="left"/>
      <protection hidden="1"/>
    </xf>
    <xf numFmtId="0" fontId="16" fillId="3" borderId="24" xfId="0" applyFont="1" applyFill="1" applyBorder="1" applyAlignment="1" applyProtection="1">
      <alignment horizontal="left"/>
      <protection hidden="1"/>
    </xf>
    <xf numFmtId="0" fontId="16" fillId="3" borderId="11" xfId="0" applyFont="1" applyFill="1" applyBorder="1" applyAlignment="1" applyProtection="1" quotePrefix="1">
      <alignment horizontal="left"/>
      <protection hidden="1"/>
    </xf>
    <xf numFmtId="0" fontId="12" fillId="3" borderId="17" xfId="0" applyFont="1" applyFill="1" applyBorder="1" applyAlignment="1" applyProtection="1" quotePrefix="1">
      <alignment horizontal="left"/>
      <protection hidden="1"/>
    </xf>
    <xf numFmtId="0" fontId="0" fillId="3" borderId="24" xfId="0" applyFont="1" applyFill="1" applyBorder="1" applyAlignment="1" applyProtection="1">
      <alignment horizontal="left"/>
      <protection hidden="1"/>
    </xf>
    <xf numFmtId="0" fontId="0" fillId="3" borderId="24" xfId="0" applyFont="1" applyFill="1" applyBorder="1" applyAlignment="1" applyProtection="1" quotePrefix="1">
      <alignment horizontal="left"/>
      <protection hidden="1"/>
    </xf>
    <xf numFmtId="0" fontId="0" fillId="3" borderId="11" xfId="0" applyFont="1" applyFill="1" applyBorder="1" applyAlignment="1" applyProtection="1" quotePrefix="1">
      <alignment horizontal="left"/>
      <protection hidden="1"/>
    </xf>
    <xf numFmtId="0" fontId="16" fillId="0" borderId="17" xfId="0" applyFont="1" applyFill="1" applyBorder="1" applyAlignment="1" applyProtection="1">
      <alignment horizontal="left"/>
      <protection hidden="1"/>
    </xf>
    <xf numFmtId="0" fontId="16" fillId="0" borderId="11" xfId="0" applyFont="1" applyFill="1" applyBorder="1" applyAlignment="1" applyProtection="1">
      <alignment horizontal="left"/>
      <protection hidden="1"/>
    </xf>
    <xf numFmtId="0" fontId="16" fillId="0" borderId="11" xfId="0" applyFont="1" applyBorder="1" applyAlignment="1" applyProtection="1">
      <alignment horizontal="left"/>
      <protection hidden="1"/>
    </xf>
    <xf numFmtId="1" fontId="6" fillId="2" borderId="26" xfId="0" applyNumberFormat="1" applyFont="1" applyFill="1" applyBorder="1" applyAlignment="1" applyProtection="1">
      <alignment horizontal="centerContinuous" vertical="center"/>
      <protection hidden="1"/>
    </xf>
    <xf numFmtId="1" fontId="6" fillId="2" borderId="3" xfId="0" applyNumberFormat="1" applyFont="1" applyFill="1" applyBorder="1" applyAlignment="1" applyProtection="1">
      <alignment horizontal="centerContinuous" vertical="center"/>
      <protection hidden="1"/>
    </xf>
    <xf numFmtId="0" fontId="0" fillId="0" borderId="27" xfId="0" applyFont="1" applyBorder="1" applyAlignment="1" applyProtection="1">
      <alignment horizontal="center" vertical="center"/>
      <protection hidden="1"/>
    </xf>
    <xf numFmtId="0" fontId="0" fillId="0" borderId="28" xfId="0"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0" fillId="0" borderId="17" xfId="0" applyBorder="1" applyAlignment="1" applyProtection="1">
      <alignment horizontal="center"/>
      <protection hidden="1"/>
    </xf>
    <xf numFmtId="0" fontId="0" fillId="0" borderId="2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0" xfId="0" applyFont="1" applyAlignment="1" applyProtection="1">
      <alignment horizontal="center"/>
      <protection hidden="1"/>
    </xf>
    <xf numFmtId="0" fontId="12" fillId="0" borderId="17" xfId="0" applyFont="1" applyFill="1" applyBorder="1" applyAlignment="1" applyProtection="1">
      <alignment horizontal="center"/>
      <protection hidden="1"/>
    </xf>
    <xf numFmtId="0" fontId="0" fillId="3" borderId="24" xfId="0" applyFont="1" applyFill="1" applyBorder="1" applyAlignment="1" applyProtection="1" quotePrefix="1">
      <alignment horizontal="center"/>
      <protection hidden="1"/>
    </xf>
    <xf numFmtId="0" fontId="0" fillId="3" borderId="11" xfId="0" applyFont="1" applyFill="1" applyBorder="1" applyAlignment="1" applyProtection="1" quotePrefix="1">
      <alignment horizontal="center"/>
      <protection hidden="1"/>
    </xf>
    <xf numFmtId="0" fontId="0" fillId="0" borderId="0" xfId="0" applyAlignment="1" applyProtection="1">
      <alignment horizontal="center"/>
      <protection hidden="1"/>
    </xf>
    <xf numFmtId="0" fontId="16" fillId="3" borderId="24" xfId="0" applyFont="1" applyFill="1" applyBorder="1" applyAlignment="1" applyProtection="1">
      <alignment horizontal="center"/>
      <protection hidden="1"/>
    </xf>
    <xf numFmtId="0" fontId="16" fillId="3" borderId="24" xfId="0" applyFont="1" applyFill="1" applyBorder="1" applyAlignment="1" applyProtection="1" quotePrefix="1">
      <alignment horizontal="center"/>
      <protection hidden="1"/>
    </xf>
    <xf numFmtId="0" fontId="0" fillId="0" borderId="17" xfId="0" applyFont="1" applyFill="1" applyBorder="1" applyAlignment="1" applyProtection="1">
      <alignment horizontal="center"/>
      <protection hidden="1"/>
    </xf>
    <xf numFmtId="0" fontId="0" fillId="0" borderId="11" xfId="0" applyFont="1" applyFill="1" applyBorder="1" applyAlignment="1" applyProtection="1">
      <alignment horizontal="center"/>
      <protection hidden="1"/>
    </xf>
    <xf numFmtId="183" fontId="0" fillId="0" borderId="15" xfId="0" applyNumberFormat="1" applyFont="1" applyBorder="1" applyAlignment="1" applyProtection="1">
      <alignment horizontal="left" vertical="center"/>
      <protection hidden="1"/>
    </xf>
    <xf numFmtId="0" fontId="0" fillId="0" borderId="0" xfId="0" applyAlignment="1" applyProtection="1">
      <alignment horizontal="center" vertical="center" wrapText="1"/>
      <protection hidden="1"/>
    </xf>
    <xf numFmtId="1" fontId="7" fillId="4" borderId="29" xfId="0" applyNumberFormat="1" applyFont="1" applyFill="1" applyBorder="1" applyAlignment="1" applyProtection="1">
      <alignment horizontal="centerContinuous" vertical="center"/>
      <protection hidden="1"/>
    </xf>
    <xf numFmtId="2" fontId="7" fillId="4" borderId="1" xfId="0" applyNumberFormat="1" applyFont="1" applyFill="1" applyBorder="1" applyAlignment="1" applyProtection="1">
      <alignment horizontal="centerContinuous" vertical="center"/>
      <protection hidden="1"/>
    </xf>
    <xf numFmtId="2" fontId="7" fillId="4" borderId="29" xfId="0" applyNumberFormat="1" applyFont="1" applyFill="1" applyBorder="1" applyAlignment="1" applyProtection="1">
      <alignment horizontal="centerContinuous" vertical="center"/>
      <protection hidden="1"/>
    </xf>
    <xf numFmtId="183" fontId="6" fillId="0" borderId="13" xfId="0" applyNumberFormat="1" applyFont="1" applyFill="1" applyBorder="1" applyAlignment="1" applyProtection="1">
      <alignment horizontal="center" vertical="center"/>
      <protection hidden="1"/>
    </xf>
    <xf numFmtId="2" fontId="6" fillId="0" borderId="3" xfId="0" applyNumberFormat="1" applyFont="1" applyFill="1" applyBorder="1" applyAlignment="1" applyProtection="1">
      <alignment horizontal="center" vertical="center"/>
      <protection hidden="1"/>
    </xf>
    <xf numFmtId="0" fontId="0" fillId="3" borderId="6" xfId="0" applyFont="1" applyFill="1" applyBorder="1" applyAlignment="1" applyProtection="1">
      <alignment horizontal="left"/>
      <protection hidden="1"/>
    </xf>
    <xf numFmtId="0" fontId="0" fillId="3" borderId="15" xfId="0" applyFont="1" applyFill="1" applyBorder="1" applyAlignment="1" applyProtection="1">
      <alignment horizontal="left" vertical="center"/>
      <protection hidden="1"/>
    </xf>
    <xf numFmtId="0" fontId="16" fillId="0" borderId="0" xfId="0" applyFont="1" applyAlignment="1" applyProtection="1">
      <alignment vertical="center" wrapText="1"/>
      <protection hidden="1"/>
    </xf>
    <xf numFmtId="0" fontId="16" fillId="0" borderId="0" xfId="0" applyFont="1" applyAlignment="1" applyProtection="1">
      <alignment horizontal="left" vertical="center" wrapText="1"/>
      <protection hidden="1"/>
    </xf>
    <xf numFmtId="212" fontId="16" fillId="0" borderId="0" xfId="0" applyNumberFormat="1" applyFont="1" applyAlignment="1" applyProtection="1">
      <alignment horizontal="right" vertical="top" wrapText="1"/>
      <protection hidden="1"/>
    </xf>
    <xf numFmtId="212" fontId="16" fillId="0" borderId="0" xfId="0" applyNumberFormat="1" applyFont="1" applyAlignment="1" applyProtection="1">
      <alignment vertical="center" wrapText="1"/>
      <protection hidden="1"/>
    </xf>
    <xf numFmtId="0" fontId="7" fillId="0" borderId="0" xfId="0" applyFont="1" applyAlignment="1" applyProtection="1" quotePrefix="1">
      <alignment horizontal="left" vertical="center"/>
      <protection hidden="1"/>
    </xf>
    <xf numFmtId="0" fontId="30" fillId="0" borderId="0" xfId="0" applyFont="1" applyAlignment="1" applyProtection="1">
      <alignment vertical="center"/>
      <protection hidden="1"/>
    </xf>
    <xf numFmtId="0" fontId="23" fillId="0" borderId="0" xfId="0" applyFont="1" applyAlignment="1" applyProtection="1">
      <alignment horizontal="left" vertical="center"/>
      <protection hidden="1"/>
    </xf>
    <xf numFmtId="0" fontId="26" fillId="0" borderId="0" xfId="0" applyFont="1" applyAlignment="1" applyProtection="1">
      <alignment horizontal="left" vertical="center"/>
      <protection hidden="1"/>
    </xf>
    <xf numFmtId="0" fontId="26" fillId="0" borderId="0" xfId="0" applyFont="1" applyAlignment="1" applyProtection="1">
      <alignment horizontal="center" vertical="center"/>
      <protection hidden="1"/>
    </xf>
    <xf numFmtId="0" fontId="6" fillId="0" borderId="0" xfId="0" applyFont="1" applyAlignment="1" applyProtection="1">
      <alignment horizontal="centerContinuous" vertical="center"/>
      <protection hidden="1"/>
    </xf>
    <xf numFmtId="0" fontId="9" fillId="0" borderId="0" xfId="0" applyFont="1" applyAlignment="1" applyProtection="1">
      <alignment vertical="center"/>
      <protection hidden="1"/>
    </xf>
    <xf numFmtId="0" fontId="0" fillId="0" borderId="25" xfId="0" applyFont="1" applyBorder="1" applyAlignment="1" applyProtection="1">
      <alignment/>
      <protection hidden="1"/>
    </xf>
    <xf numFmtId="0" fontId="23" fillId="3" borderId="0" xfId="0" applyFont="1" applyFill="1" applyBorder="1" applyAlignment="1" applyProtection="1">
      <alignment horizontal="left" vertical="center"/>
      <protection hidden="1"/>
    </xf>
    <xf numFmtId="195" fontId="6" fillId="2" borderId="4" xfId="0" applyNumberFormat="1" applyFont="1" applyFill="1" applyBorder="1" applyAlignment="1" applyProtection="1">
      <alignment horizontal="centerContinuous" vertical="center"/>
      <protection hidden="1"/>
    </xf>
    <xf numFmtId="1" fontId="6" fillId="2" borderId="28" xfId="0" applyNumberFormat="1" applyFont="1" applyFill="1" applyBorder="1" applyAlignment="1" applyProtection="1">
      <alignment horizontal="centerContinuous" vertical="center"/>
      <protection hidden="1"/>
    </xf>
    <xf numFmtId="0" fontId="0" fillId="3" borderId="14" xfId="0" applyFont="1" applyFill="1" applyBorder="1" applyAlignment="1" applyProtection="1">
      <alignment vertical="center"/>
      <protection hidden="1"/>
    </xf>
    <xf numFmtId="0" fontId="0" fillId="3" borderId="23" xfId="0" applyFont="1" applyFill="1" applyBorder="1" applyAlignment="1" applyProtection="1" quotePrefix="1">
      <alignment horizontal="left" vertical="center"/>
      <protection hidden="1"/>
    </xf>
    <xf numFmtId="0" fontId="0" fillId="3" borderId="15" xfId="0" applyFont="1" applyFill="1" applyBorder="1" applyAlignment="1" applyProtection="1">
      <alignment vertical="center"/>
      <protection hidden="1"/>
    </xf>
    <xf numFmtId="202" fontId="6" fillId="0" borderId="15" xfId="0" applyNumberFormat="1" applyFont="1" applyFill="1" applyBorder="1" applyAlignment="1" applyProtection="1">
      <alignment horizontal="centerContinuous" vertical="center"/>
      <protection hidden="1"/>
    </xf>
    <xf numFmtId="202" fontId="6" fillId="0" borderId="13" xfId="0" applyNumberFormat="1" applyFont="1" applyFill="1" applyBorder="1" applyAlignment="1" applyProtection="1">
      <alignment horizontal="centerContinuous" vertical="center"/>
      <protection hidden="1"/>
    </xf>
    <xf numFmtId="182" fontId="6" fillId="0" borderId="13" xfId="0" applyNumberFormat="1" applyFont="1" applyFill="1" applyBorder="1" applyAlignment="1" applyProtection="1" quotePrefix="1">
      <alignment horizontal="centerContinuous" vertical="center"/>
      <protection hidden="1"/>
    </xf>
    <xf numFmtId="219" fontId="8" fillId="5" borderId="22" xfId="0" applyNumberFormat="1" applyFont="1" applyFill="1" applyBorder="1" applyAlignment="1" applyProtection="1">
      <alignment horizontal="center" vertical="center"/>
      <protection locked="0"/>
    </xf>
    <xf numFmtId="220" fontId="6" fillId="0" borderId="22" xfId="0" applyNumberFormat="1" applyFont="1" applyFill="1" applyBorder="1" applyAlignment="1" applyProtection="1">
      <alignment horizontal="centerContinuous" vertical="center"/>
      <protection hidden="1"/>
    </xf>
    <xf numFmtId="220" fontId="6" fillId="0" borderId="13" xfId="0" applyNumberFormat="1" applyFont="1" applyFill="1" applyBorder="1" applyAlignment="1" applyProtection="1">
      <alignment horizontal="centerContinuous" vertical="center"/>
      <protection hidden="1"/>
    </xf>
    <xf numFmtId="3" fontId="7" fillId="4" borderId="22" xfId="0" applyNumberFormat="1" applyFont="1" applyFill="1" applyBorder="1" applyAlignment="1" applyProtection="1">
      <alignment horizontal="centerContinuous" vertical="center"/>
      <protection hidden="1"/>
    </xf>
    <xf numFmtId="3" fontId="7" fillId="4" borderId="20" xfId="0" applyNumberFormat="1" applyFont="1" applyFill="1" applyBorder="1" applyAlignment="1" applyProtection="1">
      <alignment horizontal="centerContinuous" vertical="center"/>
      <protection hidden="1"/>
    </xf>
    <xf numFmtId="4" fontId="7" fillId="4" borderId="26" xfId="0" applyNumberFormat="1" applyFont="1" applyFill="1" applyBorder="1" applyAlignment="1" applyProtection="1">
      <alignment horizontal="centerContinuous" vertical="center"/>
      <protection hidden="1"/>
    </xf>
    <xf numFmtId="4" fontId="7" fillId="4" borderId="19" xfId="0" applyNumberFormat="1" applyFont="1" applyFill="1" applyBorder="1" applyAlignment="1" applyProtection="1">
      <alignment horizontal="centerContinuous" vertical="center"/>
      <protection hidden="1"/>
    </xf>
    <xf numFmtId="0" fontId="32" fillId="0" borderId="0" xfId="0" applyFont="1" applyBorder="1" applyAlignment="1" applyProtection="1">
      <alignment horizontal="center" vertical="center"/>
      <protection hidden="1"/>
    </xf>
    <xf numFmtId="1" fontId="7" fillId="4" borderId="20" xfId="0" applyNumberFormat="1" applyFont="1" applyFill="1" applyBorder="1" applyAlignment="1" applyProtection="1">
      <alignment horizontal="centerContinuous" vertical="center"/>
      <protection hidden="1"/>
    </xf>
    <xf numFmtId="2" fontId="7" fillId="4" borderId="4" xfId="0" applyNumberFormat="1" applyFont="1" applyFill="1" applyBorder="1" applyAlignment="1" applyProtection="1">
      <alignment horizontal="centerContinuous" vertical="center"/>
      <protection hidden="1"/>
    </xf>
    <xf numFmtId="2" fontId="7" fillId="4" borderId="19" xfId="0" applyNumberFormat="1" applyFont="1" applyFill="1" applyBorder="1" applyAlignment="1" applyProtection="1">
      <alignment horizontal="centerContinuous" vertical="center"/>
      <protection hidden="1"/>
    </xf>
    <xf numFmtId="0" fontId="7" fillId="4" borderId="0" xfId="0" applyFont="1" applyFill="1" applyAlignment="1" applyProtection="1">
      <alignment horizontal="center" vertical="center"/>
      <protection hidden="1"/>
    </xf>
    <xf numFmtId="0" fontId="0" fillId="0" borderId="27" xfId="0" applyFont="1" applyBorder="1" applyAlignment="1" applyProtection="1">
      <alignment horizontal="left"/>
      <protection hidden="1"/>
    </xf>
    <xf numFmtId="183" fontId="6" fillId="2" borderId="22" xfId="0" applyNumberFormat="1" applyFont="1" applyFill="1" applyBorder="1" applyAlignment="1" applyProtection="1">
      <alignment horizontal="centerContinuous" vertical="center"/>
      <protection hidden="1"/>
    </xf>
    <xf numFmtId="183" fontId="6" fillId="2" borderId="13" xfId="0" applyNumberFormat="1" applyFont="1" applyFill="1" applyBorder="1" applyAlignment="1" applyProtection="1">
      <alignment horizontal="centerContinuous" vertical="center"/>
      <protection hidden="1"/>
    </xf>
    <xf numFmtId="2" fontId="6" fillId="0" borderId="13" xfId="0" applyNumberFormat="1" applyFont="1" applyFill="1" applyBorder="1" applyAlignment="1" applyProtection="1">
      <alignment horizontal="centerContinuous" vertical="center"/>
      <protection hidden="1"/>
    </xf>
    <xf numFmtId="200" fontId="6" fillId="0" borderId="13" xfId="0" applyNumberFormat="1" applyFont="1" applyFill="1" applyBorder="1" applyAlignment="1" applyProtection="1">
      <alignment horizontal="centerContinuous" vertical="center"/>
      <protection hidden="1"/>
    </xf>
    <xf numFmtId="183" fontId="6" fillId="0" borderId="13" xfId="0" applyNumberFormat="1" applyFont="1" applyFill="1" applyBorder="1" applyAlignment="1" applyProtection="1">
      <alignment horizontal="centerContinuous" vertical="center"/>
      <protection hidden="1"/>
    </xf>
    <xf numFmtId="201" fontId="6" fillId="0" borderId="13" xfId="0" applyNumberFormat="1" applyFont="1" applyFill="1" applyBorder="1" applyAlignment="1" applyProtection="1">
      <alignment horizontal="centerContinuous" vertical="center"/>
      <protection hidden="1"/>
    </xf>
    <xf numFmtId="0" fontId="0" fillId="3" borderId="24" xfId="0" applyFont="1" applyFill="1" applyBorder="1" applyAlignment="1" applyProtection="1" quotePrefix="1">
      <alignment horizontal="left"/>
      <protection hidden="1"/>
    </xf>
    <xf numFmtId="0" fontId="0" fillId="3" borderId="24" xfId="0" applyFont="1" applyFill="1" applyBorder="1" applyAlignment="1" applyProtection="1">
      <alignment horizontal="left"/>
      <protection hidden="1"/>
    </xf>
    <xf numFmtId="0" fontId="0" fillId="3" borderId="24" xfId="0" applyFont="1" applyFill="1" applyBorder="1" applyAlignment="1" applyProtection="1">
      <alignment horizontal="left" vertical="center"/>
      <protection hidden="1"/>
    </xf>
    <xf numFmtId="202" fontId="6" fillId="0" borderId="22" xfId="0" applyNumberFormat="1" applyFont="1" applyFill="1" applyBorder="1" applyAlignment="1" applyProtection="1">
      <alignment horizontal="centerContinuous" vertical="center"/>
      <protection hidden="1"/>
    </xf>
    <xf numFmtId="199" fontId="6" fillId="0" borderId="22" xfId="0" applyNumberFormat="1" applyFont="1" applyFill="1" applyBorder="1" applyAlignment="1" applyProtection="1">
      <alignment horizontal="centerContinuous" vertical="center"/>
      <protection hidden="1"/>
    </xf>
    <xf numFmtId="200" fontId="6" fillId="0" borderId="22" xfId="0" applyNumberFormat="1" applyFont="1" applyFill="1" applyBorder="1" applyAlignment="1" applyProtection="1">
      <alignment horizontal="centerContinuous" vertical="center"/>
      <protection hidden="1"/>
    </xf>
    <xf numFmtId="197" fontId="6" fillId="0" borderId="22" xfId="0" applyNumberFormat="1" applyFont="1" applyFill="1" applyBorder="1" applyAlignment="1" applyProtection="1">
      <alignment horizontal="centerContinuous" vertical="center"/>
      <protection hidden="1"/>
    </xf>
    <xf numFmtId="183" fontId="6" fillId="0" borderId="22" xfId="0" applyNumberFormat="1" applyFont="1" applyFill="1" applyBorder="1" applyAlignment="1" applyProtection="1">
      <alignment horizontal="centerContinuous" vertical="center"/>
      <protection hidden="1"/>
    </xf>
    <xf numFmtId="184" fontId="6" fillId="0" borderId="22" xfId="0" applyNumberFormat="1" applyFont="1" applyFill="1" applyBorder="1" applyAlignment="1" applyProtection="1">
      <alignment horizontal="centerContinuous" vertical="center"/>
      <protection hidden="1"/>
    </xf>
    <xf numFmtId="0" fontId="0" fillId="0" borderId="24" xfId="0" applyFont="1" applyBorder="1" applyAlignment="1" applyProtection="1">
      <alignment horizontal="center"/>
      <protection hidden="1"/>
    </xf>
    <xf numFmtId="0" fontId="18" fillId="0" borderId="2" xfId="0" applyFont="1" applyFill="1" applyBorder="1" applyAlignment="1" applyProtection="1">
      <alignment horizontal="right" vertical="center"/>
      <protection hidden="1"/>
    </xf>
    <xf numFmtId="0" fontId="29" fillId="0" borderId="0" xfId="0" applyFont="1" applyFill="1" applyAlignment="1" applyProtection="1">
      <alignment horizontal="left" vertical="top" wrapText="1"/>
      <protection hidden="1"/>
    </xf>
    <xf numFmtId="0" fontId="0" fillId="3" borderId="30" xfId="0" applyFont="1" applyFill="1" applyBorder="1" applyAlignment="1" applyProtection="1">
      <alignment vertical="center"/>
      <protection hidden="1"/>
    </xf>
    <xf numFmtId="0" fontId="0" fillId="3" borderId="31" xfId="0" applyFont="1" applyFill="1" applyBorder="1" applyAlignment="1" applyProtection="1" quotePrefix="1">
      <alignment horizontal="left"/>
      <protection hidden="1"/>
    </xf>
    <xf numFmtId="202" fontId="6" fillId="0" borderId="32" xfId="0" applyNumberFormat="1" applyFont="1" applyFill="1" applyBorder="1" applyAlignment="1" applyProtection="1">
      <alignment horizontal="centerContinuous" vertical="center"/>
      <protection hidden="1"/>
    </xf>
    <xf numFmtId="2" fontId="6" fillId="0" borderId="33" xfId="0" applyNumberFormat="1" applyFont="1" applyFill="1" applyBorder="1" applyAlignment="1" applyProtection="1">
      <alignment horizontal="centerContinuous" vertical="center"/>
      <protection hidden="1"/>
    </xf>
    <xf numFmtId="0" fontId="6" fillId="0" borderId="0" xfId="0" applyFont="1" applyFill="1" applyBorder="1" applyAlignment="1" applyProtection="1" quotePrefix="1">
      <alignment horizontal="left" vertical="center"/>
      <protection hidden="1"/>
    </xf>
    <xf numFmtId="0" fontId="0" fillId="0" borderId="0" xfId="0" applyFont="1" applyBorder="1" applyAlignment="1" applyProtection="1">
      <alignment vertical="center"/>
      <protection hidden="1"/>
    </xf>
    <xf numFmtId="183" fontId="6" fillId="0" borderId="34" xfId="0" applyNumberFormat="1" applyFont="1" applyFill="1" applyBorder="1" applyAlignment="1" applyProtection="1">
      <alignment horizontal="centerContinuous" vertical="center"/>
      <protection hidden="1"/>
    </xf>
    <xf numFmtId="183" fontId="6" fillId="0" borderId="7" xfId="0" applyNumberFormat="1" applyFont="1" applyFill="1" applyBorder="1" applyAlignment="1" applyProtection="1">
      <alignment horizontal="centerContinuous" vertical="center"/>
      <protection hidden="1"/>
    </xf>
    <xf numFmtId="0" fontId="0" fillId="0" borderId="11" xfId="0" applyFont="1" applyBorder="1" applyAlignment="1" applyProtection="1">
      <alignment horizontal="left" vertical="center"/>
      <protection hidden="1"/>
    </xf>
    <xf numFmtId="0" fontId="8" fillId="5" borderId="26" xfId="0" applyNumberFormat="1" applyFont="1" applyFill="1" applyBorder="1" applyAlignment="1" applyProtection="1">
      <alignment horizontal="center" vertical="center"/>
      <protection locked="0"/>
    </xf>
    <xf numFmtId="182" fontId="6" fillId="0" borderId="3" xfId="0" applyNumberFormat="1" applyFont="1" applyFill="1" applyBorder="1" applyAlignment="1" applyProtection="1">
      <alignment horizontal="centerContinuous" vertical="center"/>
      <protection hidden="1"/>
    </xf>
    <xf numFmtId="0" fontId="0" fillId="0" borderId="0" xfId="0" applyFill="1" applyAlignment="1">
      <alignment horizontal="right"/>
    </xf>
    <xf numFmtId="0" fontId="0" fillId="0" borderId="14" xfId="0" applyBorder="1" applyAlignment="1" applyProtection="1">
      <alignment/>
      <protection hidden="1"/>
    </xf>
    <xf numFmtId="0" fontId="0" fillId="0" borderId="17" xfId="0" applyFont="1" applyBorder="1" applyAlignment="1" applyProtection="1" quotePrefix="1">
      <alignment horizontal="center" vertical="center"/>
      <protection hidden="1"/>
    </xf>
    <xf numFmtId="0" fontId="0" fillId="0" borderId="15" xfId="0" applyBorder="1" applyAlignment="1" applyProtection="1">
      <alignment/>
      <protection hidden="1"/>
    </xf>
    <xf numFmtId="0" fontId="0" fillId="0" borderId="4" xfId="0" applyBorder="1" applyAlignment="1" applyProtection="1">
      <alignment/>
      <protection hidden="1"/>
    </xf>
    <xf numFmtId="0" fontId="0" fillId="0" borderId="11" xfId="0" applyFont="1" applyBorder="1" applyAlignment="1" applyProtection="1">
      <alignment horizontal="center"/>
      <protection hidden="1"/>
    </xf>
    <xf numFmtId="0" fontId="0" fillId="0" borderId="35" xfId="0" applyFont="1" applyBorder="1" applyAlignment="1" applyProtection="1">
      <alignment horizontal="centerContinuous" vertical="center"/>
      <protection hidden="1"/>
    </xf>
    <xf numFmtId="0" fontId="33"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right" vertical="center"/>
      <protection hidden="1"/>
    </xf>
    <xf numFmtId="0" fontId="0" fillId="3" borderId="1" xfId="0" applyFont="1" applyFill="1" applyBorder="1" applyAlignment="1" applyProtection="1">
      <alignment vertical="center"/>
      <protection hidden="1"/>
    </xf>
    <xf numFmtId="0" fontId="0" fillId="3" borderId="36" xfId="0" applyFont="1" applyFill="1" applyBorder="1" applyAlignment="1" applyProtection="1">
      <alignment horizontal="left" vertical="center"/>
      <protection hidden="1"/>
    </xf>
    <xf numFmtId="0" fontId="0" fillId="3" borderId="2" xfId="0" applyFont="1" applyFill="1" applyBorder="1" applyAlignment="1" applyProtection="1">
      <alignment vertical="center"/>
      <protection hidden="1"/>
    </xf>
    <xf numFmtId="0" fontId="0" fillId="3" borderId="6" xfId="0" applyFont="1" applyFill="1" applyBorder="1" applyAlignment="1" applyProtection="1" quotePrefix="1">
      <alignment horizontal="left" vertical="center"/>
      <protection hidden="1"/>
    </xf>
    <xf numFmtId="0" fontId="0" fillId="3" borderId="6" xfId="0" applyFont="1" applyFill="1" applyBorder="1" applyAlignment="1" applyProtection="1">
      <alignment horizontal="left" vertical="center"/>
      <protection hidden="1"/>
    </xf>
    <xf numFmtId="0" fontId="0" fillId="3" borderId="6" xfId="0" applyFont="1" applyFill="1" applyBorder="1" applyAlignment="1" applyProtection="1" quotePrefix="1">
      <alignment horizontal="left"/>
      <protection hidden="1"/>
    </xf>
    <xf numFmtId="0" fontId="0" fillId="3" borderId="6" xfId="0" applyFont="1" applyFill="1" applyBorder="1" applyAlignment="1" applyProtection="1">
      <alignment horizontal="left"/>
      <protection hidden="1"/>
    </xf>
    <xf numFmtId="0" fontId="0" fillId="0" borderId="8" xfId="0" applyFont="1" applyBorder="1" applyAlignment="1" applyProtection="1">
      <alignment horizontal="left" vertical="center"/>
      <protection hidden="1"/>
    </xf>
    <xf numFmtId="0" fontId="0" fillId="0" borderId="8" xfId="0" applyFont="1" applyBorder="1" applyAlignment="1" applyProtection="1">
      <alignment horizontal="center" vertical="center"/>
      <protection hidden="1"/>
    </xf>
    <xf numFmtId="0" fontId="0" fillId="3" borderId="4" xfId="0" applyFont="1" applyFill="1" applyBorder="1" applyAlignment="1" applyProtection="1" quotePrefix="1">
      <alignment horizontal="left" vertical="center"/>
      <protection hidden="1"/>
    </xf>
    <xf numFmtId="0" fontId="0" fillId="3" borderId="28" xfId="0" applyFont="1" applyFill="1" applyBorder="1" applyAlignment="1" applyProtection="1">
      <alignment horizontal="left" vertical="center"/>
      <protection hidden="1"/>
    </xf>
    <xf numFmtId="0" fontId="6" fillId="0" borderId="0" xfId="0" applyFont="1" applyAlignment="1" applyProtection="1">
      <alignment horizontal="left" vertical="center"/>
      <protection hidden="1"/>
    </xf>
    <xf numFmtId="0" fontId="27" fillId="0" borderId="0" xfId="0" applyFont="1" applyAlignment="1" applyProtection="1">
      <alignment horizontal="left" vertical="center"/>
      <protection hidden="1"/>
    </xf>
    <xf numFmtId="0" fontId="0" fillId="3" borderId="15" xfId="0" applyFont="1" applyFill="1" applyBorder="1" applyAlignment="1" applyProtection="1">
      <alignment vertical="center"/>
      <protection hidden="1"/>
    </xf>
    <xf numFmtId="0" fontId="0" fillId="3" borderId="27" xfId="0" applyFont="1" applyFill="1" applyBorder="1" applyAlignment="1" applyProtection="1" quotePrefix="1">
      <alignment horizontal="left"/>
      <protection hidden="1"/>
    </xf>
    <xf numFmtId="0" fontId="0" fillId="0" borderId="15" xfId="0" applyFont="1" applyBorder="1" applyAlignment="1" applyProtection="1">
      <alignment vertical="center"/>
      <protection hidden="1"/>
    </xf>
    <xf numFmtId="0" fontId="0" fillId="3" borderId="27" xfId="0" applyFont="1" applyFill="1" applyBorder="1" applyAlignment="1" applyProtection="1">
      <alignment horizontal="left" vertical="center"/>
      <protection hidden="1"/>
    </xf>
    <xf numFmtId="0" fontId="0" fillId="0" borderId="15" xfId="0" applyFont="1" applyBorder="1" applyAlignment="1" applyProtection="1">
      <alignment horizontal="left" vertical="center"/>
      <protection hidden="1"/>
    </xf>
    <xf numFmtId="0" fontId="0" fillId="0" borderId="24" xfId="0" applyFont="1" applyBorder="1" applyAlignment="1" applyProtection="1">
      <alignment horizontal="center" vertical="center"/>
      <protection hidden="1"/>
    </xf>
    <xf numFmtId="0" fontId="0" fillId="0" borderId="24" xfId="0" applyFont="1" applyBorder="1" applyAlignment="1" applyProtection="1">
      <alignment horizontal="left" vertical="center"/>
      <protection hidden="1"/>
    </xf>
    <xf numFmtId="0" fontId="0" fillId="0" borderId="15" xfId="0" applyFont="1" applyBorder="1" applyAlignment="1" applyProtection="1">
      <alignment horizontal="left" vertical="center"/>
      <protection hidden="1"/>
    </xf>
    <xf numFmtId="0" fontId="0" fillId="0" borderId="24" xfId="0" applyFont="1" applyBorder="1" applyAlignment="1" applyProtection="1">
      <alignment horizontal="left" vertical="center"/>
      <protection hidden="1"/>
    </xf>
    <xf numFmtId="0" fontId="0" fillId="0" borderId="17" xfId="0" applyFont="1" applyBorder="1" applyAlignment="1" applyProtection="1">
      <alignment horizontal="center" vertical="center"/>
      <protection hidden="1"/>
    </xf>
    <xf numFmtId="0" fontId="16" fillId="0" borderId="17" xfId="0" applyFont="1" applyFill="1" applyBorder="1" applyAlignment="1" applyProtection="1" quotePrefix="1">
      <alignment horizontal="left"/>
      <protection hidden="1"/>
    </xf>
    <xf numFmtId="0" fontId="0" fillId="0" borderId="4" xfId="0" applyFont="1" applyBorder="1" applyAlignment="1" applyProtection="1">
      <alignment horizontal="left" vertical="center"/>
      <protection hidden="1"/>
    </xf>
    <xf numFmtId="0" fontId="0" fillId="0" borderId="11" xfId="0" applyFont="1" applyBorder="1" applyAlignment="1" applyProtection="1">
      <alignment/>
      <protection hidden="1"/>
    </xf>
    <xf numFmtId="0" fontId="0" fillId="0" borderId="4" xfId="0" applyFont="1" applyBorder="1" applyAlignment="1" applyProtection="1">
      <alignment horizontal="left" vertical="center"/>
      <protection hidden="1"/>
    </xf>
    <xf numFmtId="0" fontId="0" fillId="0" borderId="14" xfId="0" applyFont="1" applyBorder="1" applyAlignment="1" applyProtection="1">
      <alignment horizontal="left" vertical="center"/>
      <protection hidden="1"/>
    </xf>
    <xf numFmtId="0" fontId="0" fillId="0" borderId="37" xfId="0" applyFont="1" applyBorder="1" applyAlignment="1" applyProtection="1">
      <alignment/>
      <protection hidden="1"/>
    </xf>
    <xf numFmtId="0" fontId="0" fillId="0" borderId="14" xfId="0" applyFont="1" applyBorder="1" applyAlignment="1" applyProtection="1">
      <alignment vertical="center"/>
      <protection hidden="1"/>
    </xf>
    <xf numFmtId="0" fontId="16" fillId="0" borderId="17" xfId="0" applyFont="1" applyFill="1" applyBorder="1" applyAlignment="1" applyProtection="1">
      <alignment horizontal="center"/>
      <protection hidden="1"/>
    </xf>
    <xf numFmtId="0" fontId="16" fillId="0" borderId="24" xfId="0" applyFont="1" applyFill="1" applyBorder="1" applyAlignment="1" applyProtection="1">
      <alignment horizontal="center"/>
      <protection hidden="1"/>
    </xf>
    <xf numFmtId="0" fontId="0" fillId="0" borderId="11" xfId="0" applyFont="1" applyBorder="1" applyAlignment="1" applyProtection="1">
      <alignment horizontal="center" vertical="center"/>
      <protection hidden="1"/>
    </xf>
    <xf numFmtId="0" fontId="0" fillId="0" borderId="11" xfId="0" applyFont="1" applyFill="1" applyBorder="1" applyAlignment="1" applyProtection="1">
      <alignment horizontal="center"/>
      <protection hidden="1"/>
    </xf>
    <xf numFmtId="0" fontId="0" fillId="0" borderId="27" xfId="0" applyFont="1" applyBorder="1" applyAlignment="1" applyProtection="1">
      <alignment horizontal="center" vertical="center"/>
      <protection hidden="1"/>
    </xf>
    <xf numFmtId="0" fontId="0" fillId="3" borderId="15" xfId="0" applyFont="1" applyFill="1" applyBorder="1" applyAlignment="1" applyProtection="1" quotePrefix="1">
      <alignment horizontal="left" vertical="center"/>
      <protection hidden="1"/>
    </xf>
    <xf numFmtId="0" fontId="0" fillId="0" borderId="27" xfId="0" applyFont="1" applyBorder="1" applyAlignment="1" applyProtection="1">
      <alignment vertical="center"/>
      <protection hidden="1"/>
    </xf>
    <xf numFmtId="0" fontId="0" fillId="0" borderId="4" xfId="0" applyFont="1" applyBorder="1" applyAlignment="1" applyProtection="1" quotePrefix="1">
      <alignment horizontal="left" vertical="center"/>
      <protection hidden="1"/>
    </xf>
    <xf numFmtId="0" fontId="0" fillId="0" borderId="11" xfId="0" applyFont="1" applyBorder="1" applyAlignment="1" applyProtection="1">
      <alignment horizontal="left"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16" fillId="3" borderId="10" xfId="0" applyFont="1" applyFill="1" applyBorder="1" applyAlignment="1" applyProtection="1">
      <alignment horizontal="left"/>
      <protection hidden="1"/>
    </xf>
    <xf numFmtId="0" fontId="0" fillId="0" borderId="0" xfId="0" applyFont="1" applyBorder="1" applyAlignment="1" applyProtection="1">
      <alignment horizontal="center" vertical="center"/>
      <protection hidden="1"/>
    </xf>
    <xf numFmtId="0" fontId="31" fillId="0" borderId="0" xfId="0" applyFont="1" applyAlignment="1" applyProtection="1">
      <alignment vertical="center"/>
      <protection hidden="1"/>
    </xf>
    <xf numFmtId="0" fontId="31" fillId="0" borderId="0" xfId="0" applyFont="1" applyAlignment="1" applyProtection="1">
      <alignment/>
      <protection hidden="1"/>
    </xf>
    <xf numFmtId="0" fontId="16" fillId="0" borderId="0" xfId="0" applyFont="1" applyAlignment="1" applyProtection="1">
      <alignment/>
      <protection hidden="1"/>
    </xf>
    <xf numFmtId="0" fontId="7" fillId="0" borderId="0" xfId="0" applyFont="1" applyAlignment="1" applyProtection="1">
      <alignment/>
      <protection hidden="1"/>
    </xf>
    <xf numFmtId="0" fontId="0" fillId="0" borderId="1" xfId="0" applyBorder="1" applyAlignment="1" applyProtection="1">
      <alignment horizontal="center"/>
      <protection hidden="1"/>
    </xf>
    <xf numFmtId="0" fontId="7" fillId="0" borderId="38" xfId="0" applyFont="1" applyBorder="1" applyAlignment="1" applyProtection="1">
      <alignment horizontal="center"/>
      <protection hidden="1"/>
    </xf>
    <xf numFmtId="0" fontId="7" fillId="0" borderId="39" xfId="0" applyFont="1" applyBorder="1" applyAlignment="1" applyProtection="1">
      <alignment horizontal="center"/>
      <protection hidden="1"/>
    </xf>
    <xf numFmtId="0" fontId="7" fillId="2" borderId="40" xfId="0" applyFont="1" applyFill="1" applyBorder="1" applyAlignment="1" applyProtection="1">
      <alignment horizontal="center" vertical="center"/>
      <protection hidden="1"/>
    </xf>
    <xf numFmtId="0" fontId="0" fillId="0" borderId="5" xfId="0" applyBorder="1" applyAlignment="1" applyProtection="1">
      <alignment/>
      <protection hidden="1"/>
    </xf>
    <xf numFmtId="0" fontId="0" fillId="4" borderId="10" xfId="0" applyFill="1" applyBorder="1" applyAlignment="1" applyProtection="1">
      <alignment/>
      <protection hidden="1"/>
    </xf>
    <xf numFmtId="0" fontId="0" fillId="0" borderId="10" xfId="0" applyFill="1" applyBorder="1" applyAlignment="1" applyProtection="1">
      <alignment/>
      <protection hidden="1"/>
    </xf>
    <xf numFmtId="0" fontId="0" fillId="0" borderId="0" xfId="0" applyBorder="1" applyAlignment="1" applyProtection="1">
      <alignment/>
      <protection hidden="1"/>
    </xf>
    <xf numFmtId="0" fontId="0" fillId="0" borderId="23" xfId="0" applyBorder="1" applyAlignment="1" applyProtection="1">
      <alignment/>
      <protection hidden="1"/>
    </xf>
    <xf numFmtId="0" fontId="0" fillId="0" borderId="27" xfId="0" applyBorder="1" applyAlignment="1" applyProtection="1">
      <alignment/>
      <protection hidden="1"/>
    </xf>
    <xf numFmtId="0" fontId="0" fillId="0" borderId="28" xfId="0" applyBorder="1" applyAlignment="1" applyProtection="1">
      <alignment/>
      <protection hidden="1"/>
    </xf>
    <xf numFmtId="0" fontId="7" fillId="2" borderId="13" xfId="0" applyFont="1" applyFill="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6" fillId="0" borderId="0" xfId="0" applyFont="1" applyAlignment="1" applyProtection="1">
      <alignment/>
      <protection hidden="1"/>
    </xf>
    <xf numFmtId="0" fontId="7" fillId="0" borderId="0" xfId="0" applyFont="1" applyBorder="1" applyAlignment="1" applyProtection="1">
      <alignment horizontal="center" vertical="center"/>
      <protection hidden="1"/>
    </xf>
    <xf numFmtId="183" fontId="18" fillId="5" borderId="22" xfId="0" applyNumberFormat="1" applyFont="1" applyFill="1" applyBorder="1" applyAlignment="1" applyProtection="1">
      <alignment horizontal="centerContinuous" vertical="center"/>
      <protection locked="0"/>
    </xf>
    <xf numFmtId="183" fontId="18" fillId="5" borderId="22" xfId="0" applyNumberFormat="1" applyFont="1" applyFill="1" applyBorder="1" applyAlignment="1" applyProtection="1">
      <alignment horizontal="center" vertical="center"/>
      <protection locked="0"/>
    </xf>
    <xf numFmtId="183" fontId="18" fillId="5" borderId="26" xfId="0" applyNumberFormat="1" applyFont="1" applyFill="1" applyBorder="1" applyAlignment="1" applyProtection="1">
      <alignment horizontal="center" vertical="center"/>
      <protection locked="0"/>
    </xf>
    <xf numFmtId="183" fontId="18" fillId="5" borderId="13" xfId="0" applyNumberFormat="1" applyFont="1" applyFill="1" applyBorder="1" applyAlignment="1" applyProtection="1">
      <alignment horizontal="centerContinuous" vertical="center"/>
      <protection locked="0"/>
    </xf>
    <xf numFmtId="183" fontId="18" fillId="5" borderId="22" xfId="0" applyNumberFormat="1" applyFont="1" applyFill="1" applyBorder="1" applyAlignment="1" applyProtection="1" quotePrefix="1">
      <alignment horizontal="center" vertical="center"/>
      <protection locked="0"/>
    </xf>
    <xf numFmtId="183" fontId="18" fillId="5" borderId="26" xfId="0" applyNumberFormat="1" applyFont="1" applyFill="1" applyBorder="1" applyAlignment="1" applyProtection="1">
      <alignment horizontal="centerContinuous" vertical="center"/>
      <protection locked="0"/>
    </xf>
    <xf numFmtId="0" fontId="29" fillId="5" borderId="0" xfId="0" applyFont="1" applyFill="1" applyAlignment="1" applyProtection="1">
      <alignment horizontal="left" vertical="top" wrapText="1"/>
      <protection locked="0"/>
    </xf>
    <xf numFmtId="183" fontId="18" fillId="5" borderId="20" xfId="0" applyNumberFormat="1" applyFont="1" applyFill="1" applyBorder="1" applyAlignment="1" applyProtection="1">
      <alignment horizontal="centerContinuous" vertical="center"/>
      <protection locked="0"/>
    </xf>
    <xf numFmtId="198" fontId="18" fillId="5" borderId="19" xfId="0" applyNumberFormat="1" applyFont="1" applyFill="1" applyBorder="1" applyAlignment="1" applyProtection="1">
      <alignment horizontal="centerContinuous" vertical="center"/>
      <protection locked="0"/>
    </xf>
    <xf numFmtId="183" fontId="18" fillId="5" borderId="19" xfId="0" applyNumberFormat="1" applyFont="1" applyFill="1" applyBorder="1" applyAlignment="1" applyProtection="1">
      <alignment horizontal="centerContinuous" vertical="center"/>
      <protection locked="0"/>
    </xf>
    <xf numFmtId="2" fontId="18" fillId="5" borderId="22" xfId="0" applyNumberFormat="1" applyFont="1" applyFill="1" applyBorder="1" applyAlignment="1" applyProtection="1">
      <alignment horizontal="centerContinuous" vertical="center"/>
      <protection locked="0"/>
    </xf>
    <xf numFmtId="2" fontId="18" fillId="5" borderId="26" xfId="0" applyNumberFormat="1" applyFont="1" applyFill="1" applyBorder="1" applyAlignment="1" applyProtection="1">
      <alignment horizontal="centerContinuous" vertical="center"/>
      <protection locked="0"/>
    </xf>
    <xf numFmtId="0" fontId="0" fillId="0" borderId="0" xfId="0" applyFont="1" applyAlignment="1" applyProtection="1">
      <alignment/>
      <protection hidden="1"/>
    </xf>
    <xf numFmtId="0" fontId="23" fillId="0" borderId="0" xfId="0" applyFont="1" applyAlignment="1" applyProtection="1">
      <alignment horizontal="left"/>
      <protection hidden="1"/>
    </xf>
    <xf numFmtId="0" fontId="0" fillId="0" borderId="14" xfId="0" applyFont="1" applyBorder="1" applyAlignment="1" applyProtection="1">
      <alignment horizontal="left"/>
      <protection hidden="1"/>
    </xf>
    <xf numFmtId="0" fontId="0" fillId="0" borderId="17" xfId="0" applyFont="1" applyBorder="1" applyAlignment="1" applyProtection="1">
      <alignment/>
      <protection hidden="1"/>
    </xf>
    <xf numFmtId="0" fontId="0" fillId="0" borderId="11" xfId="0" applyFont="1" applyBorder="1" applyAlignment="1" applyProtection="1">
      <alignment/>
      <protection hidden="1"/>
    </xf>
    <xf numFmtId="0" fontId="0" fillId="0" borderId="28" xfId="0" applyFont="1" applyBorder="1" applyAlignment="1" applyProtection="1">
      <alignment/>
      <protection hidden="1"/>
    </xf>
    <xf numFmtId="0" fontId="0" fillId="0" borderId="0" xfId="0" applyFont="1" applyAlignment="1" applyProtection="1">
      <alignment horizontal="right"/>
      <protection hidden="1"/>
    </xf>
    <xf numFmtId="0" fontId="0" fillId="0" borderId="0" xfId="0" applyFont="1" applyBorder="1" applyAlignment="1" applyProtection="1">
      <alignment/>
      <protection hidden="1"/>
    </xf>
    <xf numFmtId="0" fontId="18" fillId="5" borderId="0" xfId="0" applyFont="1" applyFill="1" applyAlignment="1" applyProtection="1">
      <alignment horizontal="left" vertical="center"/>
      <protection locked="0"/>
    </xf>
    <xf numFmtId="0" fontId="18" fillId="5" borderId="0" xfId="0" applyFont="1" applyFill="1" applyAlignment="1" applyProtection="1">
      <alignment horizontal="center" vertical="center"/>
      <protection locked="0"/>
    </xf>
    <xf numFmtId="1" fontId="18" fillId="5" borderId="1" xfId="0" applyNumberFormat="1" applyFont="1" applyFill="1" applyBorder="1" applyAlignment="1" applyProtection="1">
      <alignment horizontal="centerContinuous" vertical="center"/>
      <protection locked="0"/>
    </xf>
    <xf numFmtId="1" fontId="18" fillId="5" borderId="39" xfId="0" applyNumberFormat="1" applyFont="1" applyFill="1" applyBorder="1" applyAlignment="1" applyProtection="1">
      <alignment horizontal="centerContinuous" vertical="center"/>
      <protection locked="0"/>
    </xf>
    <xf numFmtId="190" fontId="18" fillId="5" borderId="2" xfId="0" applyNumberFormat="1" applyFont="1" applyFill="1" applyBorder="1" applyAlignment="1" applyProtection="1">
      <alignment horizontal="centerContinuous" vertical="center"/>
      <protection locked="0"/>
    </xf>
    <xf numFmtId="2" fontId="18" fillId="5" borderId="6" xfId="0" applyNumberFormat="1" applyFont="1" applyFill="1" applyBorder="1" applyAlignment="1" applyProtection="1">
      <alignment horizontal="centerContinuous" vertical="center"/>
      <protection locked="0"/>
    </xf>
    <xf numFmtId="208" fontId="18" fillId="5" borderId="2" xfId="0" applyNumberFormat="1" applyFont="1" applyFill="1" applyBorder="1" applyAlignment="1" applyProtection="1">
      <alignment horizontal="centerContinuous" vertical="center"/>
      <protection locked="0"/>
    </xf>
    <xf numFmtId="184" fontId="18" fillId="5" borderId="6" xfId="0" applyNumberFormat="1" applyFont="1" applyFill="1" applyBorder="1" applyAlignment="1" applyProtection="1">
      <alignment horizontal="centerContinuous" vertical="center"/>
      <protection locked="0"/>
    </xf>
    <xf numFmtId="0" fontId="18" fillId="5" borderId="2" xfId="0" applyFont="1" applyFill="1" applyBorder="1" applyAlignment="1" applyProtection="1">
      <alignment horizontal="centerContinuous" vertical="center"/>
      <protection locked="0"/>
    </xf>
    <xf numFmtId="0" fontId="18" fillId="5" borderId="7" xfId="0" applyFont="1" applyFill="1" applyBorder="1" applyAlignment="1" applyProtection="1">
      <alignment horizontal="centerContinuous" vertical="center"/>
      <protection locked="0"/>
    </xf>
    <xf numFmtId="1" fontId="18" fillId="5" borderId="6" xfId="0" applyNumberFormat="1" applyFont="1" applyFill="1" applyBorder="1" applyAlignment="1" applyProtection="1">
      <alignment horizontal="left" vertical="center"/>
      <protection locked="0"/>
    </xf>
    <xf numFmtId="193" fontId="18" fillId="5" borderId="2" xfId="0" applyNumberFormat="1" applyFont="1" applyFill="1" applyBorder="1" applyAlignment="1" applyProtection="1">
      <alignment horizontal="centerContinuous" vertical="center"/>
      <protection locked="0"/>
    </xf>
    <xf numFmtId="1" fontId="18" fillId="5" borderId="6" xfId="0" applyNumberFormat="1" applyFont="1" applyFill="1" applyBorder="1" applyAlignment="1" applyProtection="1">
      <alignment horizontal="centerContinuous" vertical="center"/>
      <protection locked="0"/>
    </xf>
    <xf numFmtId="193" fontId="18" fillId="5" borderId="14" xfId="0" applyNumberFormat="1" applyFont="1" applyFill="1" applyBorder="1" applyAlignment="1" applyProtection="1">
      <alignment horizontal="centerContinuous" vertical="center"/>
      <protection locked="0"/>
    </xf>
    <xf numFmtId="193" fontId="18" fillId="5" borderId="16" xfId="0" applyNumberFormat="1" applyFont="1" applyFill="1" applyBorder="1" applyAlignment="1" applyProtection="1">
      <alignment horizontal="centerContinuous" vertical="center"/>
      <protection locked="0"/>
    </xf>
    <xf numFmtId="196" fontId="18" fillId="5" borderId="15" xfId="0" applyNumberFormat="1" applyFont="1" applyFill="1" applyBorder="1" applyAlignment="1" applyProtection="1">
      <alignment horizontal="center" vertical="center"/>
      <protection locked="0"/>
    </xf>
    <xf numFmtId="196" fontId="18" fillId="5" borderId="13" xfId="0" applyNumberFormat="1" applyFont="1" applyFill="1" applyBorder="1" applyAlignment="1" applyProtection="1">
      <alignment horizontal="center" vertical="center"/>
      <protection locked="0"/>
    </xf>
    <xf numFmtId="0" fontId="18" fillId="5" borderId="22" xfId="0" applyNumberFormat="1" applyFont="1" applyFill="1" applyBorder="1" applyAlignment="1" applyProtection="1">
      <alignment horizontal="center" vertical="center"/>
      <protection locked="0"/>
    </xf>
    <xf numFmtId="0" fontId="18" fillId="5" borderId="13" xfId="0" applyNumberFormat="1" applyFont="1" applyFill="1" applyBorder="1" applyAlignment="1" applyProtection="1">
      <alignment horizontal="center" vertical="center"/>
      <protection locked="0"/>
    </xf>
    <xf numFmtId="0" fontId="18" fillId="5" borderId="13" xfId="0" applyFont="1" applyFill="1" applyBorder="1" applyAlignment="1" applyProtection="1">
      <alignment horizontal="center" vertical="center"/>
      <protection locked="0"/>
    </xf>
    <xf numFmtId="0" fontId="18" fillId="5" borderId="26" xfId="0" applyNumberFormat="1" applyFont="1" applyFill="1" applyBorder="1" applyAlignment="1" applyProtection="1">
      <alignment horizontal="center" vertical="center"/>
      <protection locked="0"/>
    </xf>
    <xf numFmtId="0" fontId="18" fillId="5" borderId="3" xfId="0" applyNumberFormat="1" applyFont="1" applyFill="1" applyBorder="1" applyAlignment="1" applyProtection="1">
      <alignment horizontal="center" vertical="center"/>
      <protection locked="0"/>
    </xf>
    <xf numFmtId="3" fontId="18" fillId="5" borderId="15" xfId="0" applyNumberFormat="1" applyFont="1" applyFill="1" applyBorder="1" applyAlignment="1" applyProtection="1">
      <alignment horizontal="centerContinuous" vertical="center"/>
      <protection locked="0"/>
    </xf>
    <xf numFmtId="0" fontId="18" fillId="5" borderId="27" xfId="0" applyFont="1" applyFill="1" applyBorder="1" applyAlignment="1" applyProtection="1">
      <alignment horizontal="centerContinuous" vertical="center"/>
      <protection locked="0"/>
    </xf>
    <xf numFmtId="0" fontId="16" fillId="0" borderId="0" xfId="0" applyFont="1" applyAlignment="1" applyProtection="1">
      <alignment wrapText="1"/>
      <protection hidden="1"/>
    </xf>
    <xf numFmtId="0" fontId="23" fillId="0" borderId="0" xfId="0" applyFont="1" applyAlignment="1" applyProtection="1">
      <alignment wrapText="1"/>
      <protection hidden="1"/>
    </xf>
    <xf numFmtId="212" fontId="26" fillId="0" borderId="0" xfId="0" applyNumberFormat="1" applyFont="1" applyAlignment="1" applyProtection="1">
      <alignment horizontal="right" vertical="top" wrapText="1"/>
      <protection hidden="1"/>
    </xf>
    <xf numFmtId="0" fontId="16" fillId="0" borderId="0" xfId="0" applyFont="1" applyAlignment="1" applyProtection="1">
      <alignment vertical="top" wrapText="1"/>
      <protection hidden="1"/>
    </xf>
    <xf numFmtId="0" fontId="16" fillId="0" borderId="0" xfId="0" applyFont="1" applyAlignment="1" applyProtection="1">
      <alignment horizontal="justify" vertical="center" wrapText="1"/>
      <protection hidden="1"/>
    </xf>
    <xf numFmtId="0" fontId="0" fillId="0" borderId="0" xfId="0" applyBorder="1" applyAlignment="1" applyProtection="1">
      <alignment vertical="center"/>
      <protection hidden="1"/>
    </xf>
    <xf numFmtId="0" fontId="34" fillId="0" borderId="0" xfId="0" applyFont="1" applyBorder="1" applyAlignment="1" applyProtection="1">
      <alignment vertical="center" wrapText="1"/>
      <protection hidden="1"/>
    </xf>
    <xf numFmtId="0" fontId="35" fillId="0" borderId="0" xfId="0" applyFont="1" applyBorder="1" applyAlignment="1" applyProtection="1">
      <alignment vertical="center" wrapText="1"/>
      <protection hidden="1"/>
    </xf>
    <xf numFmtId="0" fontId="36" fillId="0" borderId="0" xfId="0" applyFont="1" applyBorder="1" applyAlignment="1" applyProtection="1">
      <alignment vertical="center"/>
      <protection hidden="1"/>
    </xf>
    <xf numFmtId="0" fontId="23" fillId="0" borderId="41" xfId="0" applyFont="1" applyFill="1" applyBorder="1" applyAlignment="1" applyProtection="1">
      <alignment horizontal="left"/>
      <protection hidden="1"/>
    </xf>
    <xf numFmtId="0" fontId="0" fillId="0" borderId="42" xfId="0" applyFill="1" applyBorder="1" applyAlignment="1" applyProtection="1">
      <alignment/>
      <protection hidden="1"/>
    </xf>
    <xf numFmtId="0" fontId="36" fillId="0" borderId="42" xfId="0" applyFont="1" applyFill="1" applyBorder="1" applyAlignment="1" applyProtection="1">
      <alignment vertical="center"/>
      <protection hidden="1"/>
    </xf>
    <xf numFmtId="0" fontId="16" fillId="0" borderId="42" xfId="0" applyFont="1" applyFill="1" applyBorder="1" applyAlignment="1" applyProtection="1">
      <alignment horizontal="center" vertical="top" wrapText="1"/>
      <protection hidden="1"/>
    </xf>
    <xf numFmtId="0" fontId="16" fillId="0" borderId="42" xfId="0" applyFont="1" applyFill="1" applyBorder="1" applyAlignment="1" applyProtection="1">
      <alignment horizontal="left" vertical="top" wrapText="1"/>
      <protection hidden="1"/>
    </xf>
    <xf numFmtId="0" fontId="23" fillId="0" borderId="43" xfId="0" applyFont="1" applyFill="1" applyBorder="1" applyAlignment="1" applyProtection="1">
      <alignment horizontal="right"/>
      <protection hidden="1"/>
    </xf>
    <xf numFmtId="0" fontId="23" fillId="0" borderId="44" xfId="0" applyFont="1" applyFill="1" applyBorder="1" applyAlignment="1" applyProtection="1">
      <alignment horizontal="left" vertical="center"/>
      <protection hidden="1"/>
    </xf>
    <xf numFmtId="0" fontId="0" fillId="0" borderId="45" xfId="0" applyFill="1" applyBorder="1" applyAlignment="1" applyProtection="1">
      <alignment/>
      <protection hidden="1"/>
    </xf>
    <xf numFmtId="0" fontId="37" fillId="0" borderId="45" xfId="0" applyFont="1" applyFill="1" applyBorder="1" applyAlignment="1" applyProtection="1">
      <alignment vertical="center"/>
      <protection hidden="1"/>
    </xf>
    <xf numFmtId="0" fontId="16" fillId="0" borderId="45" xfId="0" applyFont="1" applyFill="1" applyBorder="1" applyAlignment="1" applyProtection="1">
      <alignment horizontal="center" vertical="top" wrapText="1"/>
      <protection hidden="1"/>
    </xf>
    <xf numFmtId="0" fontId="16" fillId="0" borderId="45" xfId="0" applyFont="1" applyFill="1" applyBorder="1" applyAlignment="1" applyProtection="1">
      <alignment horizontal="left" vertical="top" wrapText="1"/>
      <protection hidden="1"/>
    </xf>
    <xf numFmtId="0" fontId="23" fillId="0" borderId="46" xfId="0" applyFont="1" applyFill="1" applyBorder="1" applyAlignment="1" applyProtection="1">
      <alignment horizontal="right" vertical="center"/>
      <protection hidden="1"/>
    </xf>
    <xf numFmtId="0" fontId="23" fillId="0" borderId="47" xfId="0" applyFont="1" applyFill="1" applyBorder="1" applyAlignment="1" applyProtection="1">
      <alignment horizontal="left" vertical="center"/>
      <protection hidden="1"/>
    </xf>
    <xf numFmtId="0" fontId="0" fillId="0" borderId="48" xfId="0" applyFill="1" applyBorder="1" applyAlignment="1" applyProtection="1">
      <alignment/>
      <protection hidden="1"/>
    </xf>
    <xf numFmtId="0" fontId="37" fillId="0" borderId="48" xfId="0" applyFont="1" applyFill="1" applyBorder="1" applyAlignment="1" applyProtection="1">
      <alignment vertical="center"/>
      <protection hidden="1"/>
    </xf>
    <xf numFmtId="0" fontId="16" fillId="0" borderId="48" xfId="0" applyFont="1" applyFill="1" applyBorder="1" applyAlignment="1" applyProtection="1">
      <alignment horizontal="center" vertical="top" wrapText="1"/>
      <protection hidden="1"/>
    </xf>
    <xf numFmtId="0" fontId="16" fillId="0" borderId="48" xfId="0" applyFont="1" applyFill="1" applyBorder="1" applyAlignment="1" applyProtection="1">
      <alignment horizontal="left" vertical="top" wrapText="1"/>
      <protection hidden="1"/>
    </xf>
    <xf numFmtId="0" fontId="23" fillId="0" borderId="49" xfId="0" applyFont="1" applyFill="1" applyBorder="1" applyAlignment="1" applyProtection="1">
      <alignment horizontal="right" vertical="center"/>
      <protection hidden="1"/>
    </xf>
    <xf numFmtId="0" fontId="16" fillId="0" borderId="0" xfId="0" applyFont="1" applyAlignment="1" applyProtection="1">
      <alignment vertical="center"/>
      <protection hidden="1"/>
    </xf>
    <xf numFmtId="0" fontId="16" fillId="0" borderId="0" xfId="0" applyFont="1" applyAlignment="1">
      <alignment/>
    </xf>
    <xf numFmtId="0" fontId="36" fillId="0" borderId="0" xfId="0" applyFont="1" applyAlignment="1" applyProtection="1">
      <alignment vertical="center"/>
      <protection hidden="1"/>
    </xf>
    <xf numFmtId="0" fontId="16" fillId="0" borderId="0" xfId="0" applyFont="1" applyAlignment="1" applyProtection="1">
      <alignment vertical="center"/>
      <protection hidden="1"/>
    </xf>
    <xf numFmtId="0" fontId="16" fillId="0" borderId="0" xfId="0" applyFont="1" applyAlignment="1" applyProtection="1" quotePrefix="1">
      <alignment horizontal="left" vertical="center"/>
      <protection hidden="1"/>
    </xf>
    <xf numFmtId="0" fontId="24" fillId="0" borderId="0" xfId="0" applyFont="1" applyBorder="1" applyAlignment="1" applyProtection="1">
      <alignment vertical="center" wrapText="1"/>
      <protection hidden="1"/>
    </xf>
    <xf numFmtId="0" fontId="26" fillId="0" borderId="0" xfId="0" applyFont="1" applyAlignment="1" applyProtection="1">
      <alignment vertical="center"/>
      <protection hidden="1"/>
    </xf>
    <xf numFmtId="0" fontId="25" fillId="0" borderId="0" xfId="0" applyFont="1" applyAlignment="1" applyProtection="1">
      <alignment vertical="center"/>
      <protection hidden="1"/>
    </xf>
    <xf numFmtId="0" fontId="26" fillId="0" borderId="0" xfId="0" applyFont="1" applyAlignment="1" applyProtection="1">
      <alignment/>
      <protection hidden="1"/>
    </xf>
    <xf numFmtId="0" fontId="0" fillId="5" borderId="50" xfId="0" applyFont="1" applyFill="1" applyBorder="1" applyAlignment="1" applyProtection="1">
      <alignment horizontal="center" vertical="center"/>
      <protection locked="0"/>
    </xf>
    <xf numFmtId="0" fontId="23" fillId="4" borderId="0" xfId="0" applyFont="1" applyFill="1" applyAlignment="1" applyProtection="1">
      <alignment horizontal="left" vertical="center" wrapText="1"/>
      <protection hidden="1"/>
    </xf>
    <xf numFmtId="0" fontId="21" fillId="2" borderId="51" xfId="0" applyFont="1" applyFill="1" applyBorder="1" applyAlignment="1" applyProtection="1">
      <alignment horizontal="center" vertical="center"/>
      <protection locked="0"/>
    </xf>
    <xf numFmtId="0" fontId="21" fillId="2" borderId="52" xfId="0" applyFont="1" applyFill="1" applyBorder="1" applyAlignment="1" applyProtection="1">
      <alignment horizontal="center" vertical="center"/>
      <protection locked="0"/>
    </xf>
    <xf numFmtId="0" fontId="21" fillId="2"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55" xfId="0" applyFont="1" applyFill="1" applyBorder="1" applyAlignment="1" applyProtection="1">
      <alignment horizontal="center" vertical="center"/>
      <protection locked="0"/>
    </xf>
    <xf numFmtId="0" fontId="24" fillId="0" borderId="56" xfId="0" applyFont="1" applyBorder="1" applyAlignment="1" applyProtection="1">
      <alignment horizontal="center" vertical="center" wrapText="1"/>
      <protection hidden="1"/>
    </xf>
    <xf numFmtId="0" fontId="34" fillId="0" borderId="0" xfId="0" applyFont="1" applyBorder="1" applyAlignment="1" applyProtection="1">
      <alignment horizontal="left" vertical="center" wrapText="1"/>
      <protection hidden="1"/>
    </xf>
    <xf numFmtId="0" fontId="35" fillId="0" borderId="0" xfId="0" applyFont="1" applyBorder="1" applyAlignment="1" applyProtection="1">
      <alignment horizontal="left" vertical="center" wrapText="1"/>
      <protection hidden="1"/>
    </xf>
    <xf numFmtId="0" fontId="16" fillId="0" borderId="0" xfId="0" applyFont="1" applyAlignment="1" applyProtection="1">
      <alignment horizontal="left" vertical="top" wrapText="1"/>
      <protection hidden="1"/>
    </xf>
    <xf numFmtId="0" fontId="16" fillId="0" borderId="0" xfId="0" applyFont="1" applyBorder="1" applyAlignment="1" applyProtection="1">
      <alignment horizontal="left" vertical="center" wrapText="1"/>
      <protection hidden="1"/>
    </xf>
    <xf numFmtId="0" fontId="16" fillId="0" borderId="0" xfId="0" applyFont="1" applyAlignment="1" applyProtection="1">
      <alignment horizontal="justify" vertical="top" wrapText="1"/>
      <protection hidden="1"/>
    </xf>
    <xf numFmtId="0" fontId="16" fillId="0" borderId="0" xfId="0" applyFont="1" applyAlignment="1" applyProtection="1">
      <alignment horizontal="left" vertical="center" wrapText="1"/>
      <protection hidden="1"/>
    </xf>
    <xf numFmtId="0" fontId="23" fillId="0" borderId="0" xfId="0" applyFont="1" applyAlignment="1" applyProtection="1">
      <alignment horizontal="left" wrapText="1"/>
      <protection hidden="1"/>
    </xf>
    <xf numFmtId="0" fontId="16" fillId="0" borderId="0" xfId="0" applyFont="1" applyAlignment="1" applyProtection="1">
      <alignment horizontal="left" wrapText="1"/>
      <protection hidden="1"/>
    </xf>
    <xf numFmtId="0" fontId="18" fillId="5" borderId="0" xfId="0" applyFont="1" applyFill="1" applyAlignment="1" applyProtection="1">
      <alignment horizontal="left" vertical="top" wrapText="1"/>
      <protection locked="0"/>
    </xf>
    <xf numFmtId="192" fontId="18" fillId="5" borderId="15" xfId="0" applyNumberFormat="1" applyFont="1" applyFill="1" applyBorder="1" applyAlignment="1" applyProtection="1">
      <alignment horizontal="center" vertical="center"/>
      <protection locked="0"/>
    </xf>
    <xf numFmtId="192" fontId="18" fillId="5" borderId="27" xfId="0" applyNumberFormat="1" applyFont="1" applyFill="1" applyBorder="1" applyAlignment="1" applyProtection="1">
      <alignment horizontal="center" vertical="center"/>
      <protection locked="0"/>
    </xf>
    <xf numFmtId="1" fontId="7" fillId="4" borderId="14" xfId="0" applyNumberFormat="1" applyFont="1" applyFill="1" applyBorder="1" applyAlignment="1" applyProtection="1">
      <alignment horizontal="center" vertical="center"/>
      <protection hidden="1"/>
    </xf>
    <xf numFmtId="1" fontId="7" fillId="4" borderId="23" xfId="0" applyNumberFormat="1" applyFont="1" applyFill="1" applyBorder="1" applyAlignment="1" applyProtection="1">
      <alignment horizontal="center" vertical="center"/>
      <protection hidden="1"/>
    </xf>
    <xf numFmtId="0" fontId="18" fillId="5" borderId="14" xfId="0" applyFont="1" applyFill="1" applyBorder="1" applyAlignment="1" applyProtection="1">
      <alignment horizontal="center" vertical="center"/>
      <protection locked="0"/>
    </xf>
    <xf numFmtId="0" fontId="18" fillId="5" borderId="23" xfId="0" applyFont="1" applyFill="1" applyBorder="1" applyAlignment="1" applyProtection="1">
      <alignment horizontal="center" vertical="center"/>
      <protection locked="0"/>
    </xf>
    <xf numFmtId="182" fontId="18" fillId="5" borderId="15" xfId="0" applyNumberFormat="1" applyFont="1" applyFill="1" applyBorder="1" applyAlignment="1" applyProtection="1">
      <alignment horizontal="center" vertical="center"/>
      <protection locked="0"/>
    </xf>
    <xf numFmtId="182" fontId="18" fillId="5" borderId="27" xfId="0" applyNumberFormat="1" applyFont="1" applyFill="1" applyBorder="1" applyAlignment="1" applyProtection="1">
      <alignment horizontal="center" vertical="center"/>
      <protection locked="0"/>
    </xf>
    <xf numFmtId="3" fontId="18" fillId="5" borderId="15" xfId="0" applyNumberFormat="1" applyFont="1" applyFill="1" applyBorder="1" applyAlignment="1" applyProtection="1">
      <alignment horizontal="center" vertical="center"/>
      <protection locked="0"/>
    </xf>
    <xf numFmtId="3" fontId="18" fillId="5" borderId="27" xfId="0" applyNumberFormat="1" applyFont="1" applyFill="1" applyBorder="1" applyAlignment="1" applyProtection="1">
      <alignment horizontal="center" vertical="center"/>
      <protection locked="0"/>
    </xf>
    <xf numFmtId="0" fontId="7" fillId="4" borderId="5" xfId="0" applyFont="1" applyFill="1" applyBorder="1" applyAlignment="1">
      <alignment horizontal="center" vertical="center"/>
    </xf>
    <xf numFmtId="2" fontId="7" fillId="0" borderId="4" xfId="0" applyNumberFormat="1" applyFont="1" applyFill="1" applyBorder="1" applyAlignment="1" applyProtection="1">
      <alignment horizontal="center" vertical="center"/>
      <protection hidden="1"/>
    </xf>
    <xf numFmtId="2" fontId="7" fillId="0" borderId="28" xfId="0" applyNumberFormat="1" applyFont="1" applyFill="1" applyBorder="1" applyAlignment="1" applyProtection="1">
      <alignment horizontal="center" vertical="center"/>
      <protection hidden="1"/>
    </xf>
    <xf numFmtId="0" fontId="23" fillId="0" borderId="35" xfId="0" applyFont="1" applyBorder="1" applyAlignment="1" applyProtection="1">
      <alignment horizontal="left" vertical="center"/>
      <protection hidden="1"/>
    </xf>
    <xf numFmtId="193" fontId="6" fillId="6" borderId="14" xfId="0" applyNumberFormat="1" applyFont="1" applyFill="1" applyBorder="1" applyAlignment="1" applyProtection="1">
      <alignment horizontal="center" vertical="center"/>
      <protection hidden="1"/>
    </xf>
    <xf numFmtId="193" fontId="6" fillId="6" borderId="23" xfId="0" applyNumberFormat="1" applyFont="1" applyFill="1" applyBorder="1" applyAlignment="1" applyProtection="1">
      <alignment horizontal="center" vertical="center"/>
      <protection hidden="1"/>
    </xf>
    <xf numFmtId="195" fontId="8" fillId="5" borderId="15" xfId="0" applyNumberFormat="1" applyFont="1" applyFill="1" applyBorder="1" applyAlignment="1" applyProtection="1">
      <alignment horizontal="center" vertical="center"/>
      <protection locked="0"/>
    </xf>
    <xf numFmtId="195" fontId="8" fillId="5" borderId="27" xfId="0" applyNumberFormat="1" applyFont="1" applyFill="1" applyBorder="1" applyAlignment="1" applyProtection="1">
      <alignment horizontal="center" vertical="center"/>
      <protection locked="0"/>
    </xf>
    <xf numFmtId="0" fontId="23" fillId="0" borderId="57" xfId="0" applyFont="1" applyBorder="1" applyAlignment="1" applyProtection="1">
      <alignment horizontal="center" vertical="center"/>
      <protection hidden="1"/>
    </xf>
    <xf numFmtId="203" fontId="8" fillId="5" borderId="12" xfId="0" applyNumberFormat="1" applyFont="1" applyFill="1" applyBorder="1" applyAlignment="1" applyProtection="1">
      <alignment horizontal="center" vertical="center"/>
      <protection locked="0"/>
    </xf>
    <xf numFmtId="203" fontId="8" fillId="5" borderId="58" xfId="0" applyNumberFormat="1" applyFont="1" applyFill="1" applyBorder="1" applyAlignment="1" applyProtection="1">
      <alignment horizontal="center" vertical="center"/>
      <protection locked="0"/>
    </xf>
    <xf numFmtId="0" fontId="0" fillId="0" borderId="59" xfId="0"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0" fillId="0" borderId="37" xfId="0" applyFont="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0" fillId="0" borderId="58" xfId="0" applyFont="1" applyFill="1" applyBorder="1" applyAlignment="1" applyProtection="1">
      <alignment horizontal="center" vertical="center"/>
      <protection hidden="1"/>
    </xf>
    <xf numFmtId="0" fontId="0" fillId="0" borderId="60" xfId="0" applyFont="1" applyFill="1" applyBorder="1" applyAlignment="1" applyProtection="1">
      <alignment horizontal="center" vertical="center"/>
      <protection hidden="1"/>
    </xf>
    <xf numFmtId="0" fontId="0" fillId="0" borderId="25" xfId="0" applyFont="1" applyFill="1" applyBorder="1" applyAlignment="1" applyProtection="1">
      <alignment horizontal="center" vertical="center"/>
      <protection hidden="1"/>
    </xf>
    <xf numFmtId="0" fontId="0" fillId="4" borderId="60" xfId="0" applyFont="1" applyFill="1" applyBorder="1" applyAlignment="1" applyProtection="1">
      <alignment horizontal="center" vertical="center"/>
      <protection hidden="1"/>
    </xf>
    <xf numFmtId="0" fontId="0" fillId="4" borderId="25" xfId="0" applyFont="1" applyFill="1" applyBorder="1" applyAlignment="1" applyProtection="1">
      <alignment horizontal="center" vertical="center"/>
      <protection hidden="1"/>
    </xf>
    <xf numFmtId="0" fontId="23" fillId="2" borderId="40" xfId="0" applyFont="1" applyFill="1" applyBorder="1" applyAlignment="1" applyProtection="1">
      <alignment horizontal="center" vertical="center"/>
      <protection hidden="1"/>
    </xf>
    <xf numFmtId="0" fontId="0" fillId="0" borderId="61" xfId="0" applyBorder="1" applyAlignment="1" applyProtection="1">
      <alignment horizontal="center" vertical="center" wrapText="1"/>
      <protection hidden="1"/>
    </xf>
    <xf numFmtId="0" fontId="0" fillId="0" borderId="32" xfId="0" applyBorder="1" applyAlignment="1" applyProtection="1">
      <alignment horizontal="center" vertical="center" wrapText="1"/>
      <protection hidden="1"/>
    </xf>
    <xf numFmtId="0" fontId="0" fillId="0" borderId="61" xfId="0" applyBorder="1" applyAlignment="1" applyProtection="1" quotePrefix="1">
      <alignment horizontal="center" vertical="center" wrapText="1"/>
      <protection hidden="1"/>
    </xf>
    <xf numFmtId="0" fontId="0" fillId="0" borderId="32" xfId="0" applyBorder="1" applyAlignment="1" applyProtection="1" quotePrefix="1">
      <alignment horizontal="center" vertical="center" wrapText="1"/>
      <protection hidden="1"/>
    </xf>
    <xf numFmtId="0" fontId="0" fillId="0" borderId="0" xfId="0" applyFont="1" applyAlignment="1" applyProtection="1">
      <alignment horizontal="left" vertical="center"/>
      <protection hidden="1"/>
    </xf>
    <xf numFmtId="0" fontId="0" fillId="0" borderId="62" xfId="0" applyFont="1" applyBorder="1" applyAlignment="1" applyProtection="1" quotePrefix="1">
      <alignment horizontal="center" vertical="center"/>
      <protection hidden="1"/>
    </xf>
    <xf numFmtId="0" fontId="0" fillId="0" borderId="59" xfId="0" applyFont="1" applyBorder="1" applyAlignment="1" applyProtection="1" quotePrefix="1">
      <alignment horizontal="center" vertical="center"/>
      <protection hidden="1"/>
    </xf>
    <xf numFmtId="0" fontId="0" fillId="0" borderId="23" xfId="0" applyFont="1" applyBorder="1" applyAlignment="1" applyProtection="1" quotePrefix="1">
      <alignment horizontal="center" vertical="center"/>
      <protection hidden="1"/>
    </xf>
    <xf numFmtId="0" fontId="0" fillId="0" borderId="21" xfId="0" applyFont="1" applyFill="1" applyBorder="1" applyAlignment="1" applyProtection="1">
      <alignment horizontal="left" vertical="center"/>
      <protection hidden="1"/>
    </xf>
    <xf numFmtId="0" fontId="0" fillId="0" borderId="62" xfId="0" applyFont="1" applyFill="1" applyBorder="1" applyAlignment="1" applyProtection="1">
      <alignment horizontal="left" vertical="center"/>
      <protection hidden="1"/>
    </xf>
    <xf numFmtId="0" fontId="6" fillId="2" borderId="0" xfId="0" applyFont="1" applyFill="1" applyAlignment="1" applyProtection="1" quotePrefix="1">
      <alignment horizontal="left" vertical="center"/>
      <protection hidden="1"/>
    </xf>
    <xf numFmtId="0" fontId="10" fillId="2" borderId="40" xfId="0" applyFont="1" applyFill="1" applyBorder="1" applyAlignment="1" applyProtection="1">
      <alignment horizontal="center" vertical="center"/>
      <protection hidden="1"/>
    </xf>
    <xf numFmtId="0" fontId="8" fillId="5" borderId="12" xfId="0" applyNumberFormat="1" applyFont="1" applyFill="1" applyBorder="1" applyAlignment="1" applyProtection="1">
      <alignment horizontal="center" vertical="center"/>
      <protection locked="0"/>
    </xf>
    <xf numFmtId="0" fontId="8" fillId="5" borderId="58" xfId="0" applyNumberFormat="1" applyFont="1" applyFill="1" applyBorder="1" applyAlignment="1" applyProtection="1">
      <alignment horizontal="center" vertical="center"/>
      <protection locked="0"/>
    </xf>
    <xf numFmtId="3" fontId="6" fillId="6" borderId="4" xfId="0" applyNumberFormat="1" applyFont="1" applyFill="1" applyBorder="1" applyAlignment="1" applyProtection="1">
      <alignment horizontal="left" vertical="center"/>
      <protection hidden="1"/>
    </xf>
    <xf numFmtId="0" fontId="6" fillId="6" borderId="11" xfId="0" applyNumberFormat="1" applyFont="1" applyFill="1" applyBorder="1" applyAlignment="1" applyProtection="1">
      <alignment horizontal="left" vertical="center"/>
      <protection hidden="1"/>
    </xf>
    <xf numFmtId="0" fontId="6" fillId="6" borderId="58" xfId="0" applyNumberFormat="1" applyFont="1" applyFill="1" applyBorder="1" applyAlignment="1" applyProtection="1">
      <alignment horizontal="left" vertical="center"/>
      <protection hidden="1"/>
    </xf>
    <xf numFmtId="0" fontId="8" fillId="5" borderId="28"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hidden="1"/>
    </xf>
    <xf numFmtId="0" fontId="0" fillId="4" borderId="27" xfId="0" applyFont="1" applyFill="1" applyBorder="1" applyAlignment="1" applyProtection="1">
      <alignment horizontal="center" vertical="center"/>
      <protection hidden="1"/>
    </xf>
    <xf numFmtId="0" fontId="0" fillId="0" borderId="28" xfId="0" applyFont="1" applyFill="1" applyBorder="1" applyAlignment="1" applyProtection="1">
      <alignment horizontal="center" vertical="center"/>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dimension ref="A2:S45"/>
  <sheetViews>
    <sheetView showGridLines="0" showRowColHeaders="0" workbookViewId="0" topLeftCell="A1">
      <selection activeCell="H8" sqref="H8:H10"/>
    </sheetView>
  </sheetViews>
  <sheetFormatPr defaultColWidth="11.421875" defaultRowHeight="15" customHeight="1"/>
  <cols>
    <col min="1" max="1" width="3.7109375" style="2" customWidth="1"/>
    <col min="2" max="16" width="10.7109375" style="2" customWidth="1"/>
    <col min="17" max="17" width="4.140625" style="2" customWidth="1"/>
    <col min="18" max="20" width="10.7109375" style="2" customWidth="1"/>
    <col min="21" max="16384" width="11.421875" style="2" customWidth="1"/>
  </cols>
  <sheetData>
    <row r="1" ht="19.5" customHeight="1"/>
    <row r="2" ht="19.5" customHeight="1">
      <c r="B2" s="114" t="str">
        <f>IF(H8&gt;2.5," A T T E N N T I O N :",IF(H8&gt;1.5,"A C H T U N G :","D İ K K A T :"))</f>
        <v>D İ K K A T :</v>
      </c>
    </row>
    <row r="3" spans="2:16" ht="67.5" customHeight="1">
      <c r="B3" s="388" t="str">
        <f>IF(H8&gt;2.5,B39,IF(H8&gt;1.5,B37,IF(H8&gt;0.5,B35,"")))</f>
        <v>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v>
      </c>
      <c r="C3" s="388"/>
      <c r="D3" s="388"/>
      <c r="E3" s="388"/>
      <c r="F3" s="388"/>
      <c r="G3" s="388"/>
      <c r="H3" s="388"/>
      <c r="I3" s="388"/>
      <c r="J3" s="388"/>
      <c r="K3" s="388"/>
      <c r="L3" s="388"/>
      <c r="M3" s="388"/>
      <c r="N3" s="388"/>
      <c r="O3" s="388"/>
      <c r="P3" s="388"/>
    </row>
    <row r="4" spans="1:19" ht="19.5" customHeight="1">
      <c r="A4" s="6"/>
      <c r="C4" s="1"/>
      <c r="D4" s="1"/>
      <c r="E4" s="1"/>
      <c r="F4" s="1"/>
      <c r="G4" s="1"/>
      <c r="H4" s="1"/>
      <c r="I4" s="1"/>
      <c r="J4" s="1"/>
      <c r="K4" s="1"/>
      <c r="L4" s="1"/>
      <c r="M4" s="1"/>
      <c r="N4" s="1"/>
      <c r="O4" s="6"/>
      <c r="P4" s="6"/>
      <c r="Q4" s="6"/>
      <c r="R4" s="6"/>
      <c r="S4" s="6"/>
    </row>
    <row r="5" spans="1:19" ht="39" customHeight="1">
      <c r="A5" s="1"/>
      <c r="B5" s="388" t="str">
        <f>IF(H8&gt;2.5,B45,IF(H8&gt;1.5,B43,IF(H8&gt;0.5,B41,"")))</f>
        <v>Bu programdaki her bilgiyi kaynak göstermek şartıyla her yerde kullanabilirsiniz. Bu programa verilecek değerleri (mavi kareler) ya bu sitedeki bilgilerden veya literatürden almalısınız.</v>
      </c>
      <c r="C5" s="388"/>
      <c r="D5" s="388"/>
      <c r="E5" s="388"/>
      <c r="F5" s="388"/>
      <c r="G5" s="388"/>
      <c r="H5" s="388"/>
      <c r="I5" s="388"/>
      <c r="J5" s="388"/>
      <c r="K5" s="388"/>
      <c r="L5" s="388"/>
      <c r="M5" s="388"/>
      <c r="N5" s="388"/>
      <c r="O5" s="388"/>
      <c r="P5" s="388"/>
      <c r="Q5" s="6"/>
      <c r="R5" s="6"/>
      <c r="S5" s="6"/>
    </row>
    <row r="6" spans="1:19" ht="19.5" customHeight="1">
      <c r="A6" s="1"/>
      <c r="G6" s="1"/>
      <c r="H6" s="1"/>
      <c r="I6" s="1"/>
      <c r="J6" s="1"/>
      <c r="K6" s="1"/>
      <c r="L6" s="1"/>
      <c r="M6" s="1"/>
      <c r="N6" s="1"/>
      <c r="O6" s="1"/>
      <c r="P6" s="6"/>
      <c r="Q6" s="6"/>
      <c r="R6" s="6"/>
      <c r="S6" s="6"/>
    </row>
    <row r="7" spans="1:19" s="380" customFormat="1" ht="19.5" customHeight="1" thickBot="1">
      <c r="A7" s="290"/>
      <c r="B7" s="378" t="s">
        <v>181</v>
      </c>
      <c r="C7" s="379"/>
      <c r="D7" s="379"/>
      <c r="F7" s="397" t="s">
        <v>182</v>
      </c>
      <c r="G7" s="397"/>
      <c r="H7" s="397"/>
      <c r="I7" s="397"/>
      <c r="K7" s="382" t="s">
        <v>183</v>
      </c>
      <c r="M7" s="290"/>
      <c r="N7" s="290"/>
      <c r="O7" s="290"/>
      <c r="P7" s="378"/>
      <c r="Q7" s="378"/>
      <c r="R7" s="378"/>
      <c r="S7" s="378"/>
    </row>
    <row r="8" spans="1:19" ht="19.5" customHeight="1" thickBot="1" thickTop="1">
      <c r="A8" s="1"/>
      <c r="B8" s="360" t="s">
        <v>146</v>
      </c>
      <c r="C8" s="361"/>
      <c r="D8" s="362"/>
      <c r="E8" s="363"/>
      <c r="F8" s="364"/>
      <c r="G8" s="365"/>
      <c r="H8" s="389">
        <v>1</v>
      </c>
      <c r="J8" s="387"/>
      <c r="K8" s="392"/>
      <c r="L8" s="392"/>
      <c r="M8" s="392"/>
      <c r="N8" s="392"/>
      <c r="O8" s="392"/>
      <c r="P8" s="393"/>
      <c r="Q8" s="6"/>
      <c r="R8" s="6"/>
      <c r="S8" s="6"/>
    </row>
    <row r="9" spans="1:19" ht="19.5" customHeight="1" thickTop="1">
      <c r="A9" s="1"/>
      <c r="B9" s="366" t="s">
        <v>145</v>
      </c>
      <c r="C9" s="367"/>
      <c r="D9" s="368"/>
      <c r="E9" s="369"/>
      <c r="F9" s="370"/>
      <c r="G9" s="371"/>
      <c r="H9" s="390"/>
      <c r="J9" s="394" t="str">
        <f>IF($H$8&gt;2.5,"Blue fields are that input fields that is not write-protected. ",IF($H$8&gt;1.5,"Blaue Felder sind die Eingabefelder, welche nicht schreibgeschützt sind. ",IF($H$8&gt;0.5,"Mavi olan kareler kilitli olmayan ve yazılabilinen karelerdir","")))</f>
        <v>Mavi olan kareler kilitli olmayan ve yazılabilinen karelerdir</v>
      </c>
      <c r="K9" s="394"/>
      <c r="L9" s="394"/>
      <c r="M9" s="394"/>
      <c r="N9" s="394"/>
      <c r="O9" s="394"/>
      <c r="P9" s="394"/>
      <c r="Q9" s="6"/>
      <c r="R9" s="6"/>
      <c r="S9" s="6"/>
    </row>
    <row r="10" spans="1:19" ht="19.5" customHeight="1" thickBot="1">
      <c r="A10" s="1"/>
      <c r="B10" s="372" t="s">
        <v>165</v>
      </c>
      <c r="C10" s="373"/>
      <c r="D10" s="374"/>
      <c r="E10" s="375"/>
      <c r="F10" s="376"/>
      <c r="G10" s="377"/>
      <c r="H10" s="391"/>
      <c r="J10" s="383"/>
      <c r="K10" s="383"/>
      <c r="L10" s="383"/>
      <c r="M10" s="383"/>
      <c r="N10" s="383"/>
      <c r="O10" s="383"/>
      <c r="P10" s="1"/>
      <c r="Q10" s="1"/>
      <c r="R10" s="1"/>
      <c r="S10" s="6"/>
    </row>
    <row r="11" spans="1:19" ht="19.5" customHeight="1" thickTop="1">
      <c r="A11" s="1"/>
      <c r="B11"/>
      <c r="C11"/>
      <c r="D11"/>
      <c r="E11"/>
      <c r="F11"/>
      <c r="G11"/>
      <c r="M11" s="14"/>
      <c r="N11" s="1"/>
      <c r="O11" s="1"/>
      <c r="P11" s="1"/>
      <c r="Q11" s="1"/>
      <c r="R11" s="1"/>
      <c r="S11" s="6"/>
    </row>
    <row r="12" spans="1:14" ht="19.5" customHeight="1">
      <c r="A12" s="1"/>
      <c r="B12"/>
      <c r="C12"/>
      <c r="D12"/>
      <c r="E12"/>
      <c r="F12" s="238" t="str">
        <f>IF(H8&gt;2.5,"Round gears",IF(H8&gt;1.5,"Zylindrische aussen Zahnräder","Silindirik alın dişlileri"))</f>
        <v>Silindirik alın dişlileri</v>
      </c>
      <c r="G12"/>
      <c r="M12" s="1"/>
      <c r="N12" s="1"/>
    </row>
    <row r="13" spans="1:14" ht="19.5" customHeight="1">
      <c r="A13" s="1"/>
      <c r="B13"/>
      <c r="C13"/>
      <c r="D13"/>
      <c r="E13"/>
      <c r="F13"/>
      <c r="G13"/>
      <c r="M13" s="1"/>
      <c r="N13" s="1"/>
    </row>
    <row r="14" spans="1:14" ht="19.5" customHeight="1">
      <c r="A14" s="1"/>
      <c r="B14" s="384" t="str">
        <f>IF($H$8&gt;2.5,"Table of contents",IF($H$8&gt;1.5,"INHALT",IF($H$8&gt;0.5,"içindekiler ","")))</f>
        <v>içindekiler </v>
      </c>
      <c r="G14" s="385" t="str">
        <f>IF($H$8&gt;2.5,"Table of contents",IF($H$8&gt;1.5,"INHALT",IF($H$8&gt;0.5,"içindekiler ","")))</f>
        <v>içindekiler </v>
      </c>
      <c r="H14" s="385"/>
      <c r="I14" s="385"/>
      <c r="J14" s="385"/>
      <c r="K14" s="385"/>
      <c r="L14" s="386" t="str">
        <f>IF($H$8&gt;2.5,"Table of contents",IF($H$8&gt;1.5,"INHALT",IF($H$8&gt;0.5,"içindekiler ","")))</f>
        <v>içindekiler </v>
      </c>
      <c r="M14" s="1"/>
      <c r="N14" s="1"/>
    </row>
    <row r="15" spans="1:19" ht="19.5" customHeight="1">
      <c r="A15" s="1"/>
      <c r="B15" s="172" t="s">
        <v>136</v>
      </c>
      <c r="C15" s="111" t="str">
        <f>IF(H8&gt;2.5,"Using of the program",IF(H8&gt;1.5,"Gebrauchsanweisung","Kullanma talimatı"))</f>
        <v>Kullanma talimatı</v>
      </c>
      <c r="G15" s="112" t="s">
        <v>135</v>
      </c>
      <c r="H15" s="173" t="str">
        <f>IF(Info!H8&gt;2.5,"Control",IF(Info!H8&gt;1.5,"Kontrolle",IF(Info!H8&gt;0.5,"Kontrol","")))</f>
        <v>Kontrol</v>
      </c>
      <c r="K15" s="381"/>
      <c r="L15" s="112" t="s">
        <v>137</v>
      </c>
      <c r="M15" s="178" t="str">
        <f>IF($H$8&gt;2.5,"Calculations of strength",IF($H$8&gt;1.5,"Festigkeitsberechnungen",IF($H$8&gt;0.5,"Mukavemet hesapları","")))</f>
        <v>Mukavemet hesapları</v>
      </c>
      <c r="O15" s="1"/>
      <c r="P15" s="1"/>
      <c r="Q15" s="1"/>
      <c r="R15" s="1"/>
      <c r="S15" s="6"/>
    </row>
    <row r="16" spans="1:19" ht="19.5" customHeight="1">
      <c r="A16" s="1"/>
      <c r="B16" s="112" t="s">
        <v>134</v>
      </c>
      <c r="C16" s="111" t="str">
        <f>IF($H$8&gt;2.5,"Tolerances and Wk-tolerances",IF($H$8&gt;1.5,"Toleranzen und   Wk-Toleranzen",IF($H$8&gt;0.5,"Toleranslar ve Wk-Toleransları","")))</f>
        <v>Toleranslar ve Wk-Toleransları</v>
      </c>
      <c r="E16" s="1"/>
      <c r="J16" s="178"/>
      <c r="L16" s="1"/>
      <c r="M16" s="1"/>
      <c r="N16" s="1"/>
      <c r="P16" s="1"/>
      <c r="Q16" s="1"/>
      <c r="R16" s="1"/>
      <c r="S16" s="6"/>
    </row>
    <row r="17" spans="1:19" ht="19.5" customHeight="1">
      <c r="A17" s="1"/>
      <c r="B17" s="1"/>
      <c r="C17" s="1"/>
      <c r="D17" s="1"/>
      <c r="E17"/>
      <c r="F17"/>
      <c r="I17" s="1"/>
      <c r="L17" s="1"/>
      <c r="M17" s="1"/>
      <c r="N17" s="1"/>
      <c r="S17" s="6"/>
    </row>
    <row r="18" spans="1:19" ht="19.5" customHeight="1">
      <c r="A18" s="1"/>
      <c r="B18" s="1"/>
      <c r="C18" s="1"/>
      <c r="D18" s="1"/>
      <c r="E18"/>
      <c r="F18"/>
      <c r="L18" s="1"/>
      <c r="M18" s="1"/>
      <c r="N18" s="1"/>
      <c r="O18" s="1"/>
      <c r="P18" s="1"/>
      <c r="Q18" s="1"/>
      <c r="R18" s="1"/>
      <c r="S18" s="6"/>
    </row>
    <row r="19" spans="1:19" ht="19.5" customHeight="1">
      <c r="A19" s="1"/>
      <c r="B19" s="1"/>
      <c r="C19" s="1"/>
      <c r="D19" s="1"/>
      <c r="E19"/>
      <c r="F19"/>
      <c r="H19" s="9"/>
      <c r="I19" s="1"/>
      <c r="L19" s="1"/>
      <c r="M19" s="1"/>
      <c r="N19" s="1"/>
      <c r="O19" s="1"/>
      <c r="P19" s="1"/>
      <c r="Q19" s="1"/>
      <c r="R19" s="1"/>
      <c r="S19" s="6"/>
    </row>
    <row r="20" spans="1:19" ht="19.5" customHeight="1">
      <c r="A20" s="1"/>
      <c r="B20" s="96"/>
      <c r="C20" s="96"/>
      <c r="D20" s="96"/>
      <c r="E20"/>
      <c r="F20"/>
      <c r="L20" s="14"/>
      <c r="M20" s="1"/>
      <c r="N20" s="1"/>
      <c r="O20" s="1"/>
      <c r="P20" s="1"/>
      <c r="Q20" s="1"/>
      <c r="R20" s="1"/>
      <c r="S20" s="6"/>
    </row>
    <row r="21" spans="1:19" ht="19.5" customHeight="1">
      <c r="A21" s="1"/>
      <c r="B21" s="174"/>
      <c r="E21"/>
      <c r="F21"/>
      <c r="M21" s="1"/>
      <c r="N21" s="1"/>
      <c r="O21" s="1"/>
      <c r="P21" s="1"/>
      <c r="Q21" s="1"/>
      <c r="R21" s="1"/>
      <c r="S21" s="6"/>
    </row>
    <row r="22" spans="1:19" ht="19.5" customHeight="1">
      <c r="A22" s="1"/>
      <c r="B22" s="288"/>
      <c r="M22" s="14"/>
      <c r="N22" s="1"/>
      <c r="O22" s="1"/>
      <c r="P22" s="1"/>
      <c r="Q22" s="1"/>
      <c r="R22" s="1"/>
      <c r="S22" s="6"/>
    </row>
    <row r="23" spans="1:19" ht="19.5" customHeight="1">
      <c r="A23" s="1"/>
      <c r="B23" s="289"/>
      <c r="F23" s="113"/>
      <c r="L23" s="14"/>
      <c r="M23" s="14"/>
      <c r="N23" s="1"/>
      <c r="O23" s="1"/>
      <c r="P23" s="1"/>
      <c r="Q23" s="1"/>
      <c r="R23" s="1"/>
      <c r="S23" s="6"/>
    </row>
    <row r="24" spans="1:19" ht="19.5" customHeight="1">
      <c r="A24" s="1"/>
      <c r="B24" s="1"/>
      <c r="C24" s="1"/>
      <c r="E24" s="1"/>
      <c r="F24" s="113"/>
      <c r="G24" s="110"/>
      <c r="H24" s="173"/>
      <c r="I24" s="9"/>
      <c r="L24" s="14"/>
      <c r="M24" s="14"/>
      <c r="N24" s="1"/>
      <c r="O24" s="1"/>
      <c r="P24" s="1"/>
      <c r="Q24" s="1"/>
      <c r="R24" s="1"/>
      <c r="S24" s="6"/>
    </row>
    <row r="25" spans="1:19" ht="19.5" customHeight="1">
      <c r="A25" s="1"/>
      <c r="B25" s="1"/>
      <c r="C25" s="1"/>
      <c r="E25" s="1"/>
      <c r="F25" s="290"/>
      <c r="I25" s="9"/>
      <c r="L25" s="14"/>
      <c r="N25" s="1"/>
      <c r="O25" s="1"/>
      <c r="P25" s="1"/>
      <c r="Q25" s="1"/>
      <c r="R25" s="1"/>
      <c r="S25" s="6"/>
    </row>
    <row r="26" spans="1:19" ht="19.5" customHeight="1">
      <c r="A26" s="1"/>
      <c r="B26" s="1"/>
      <c r="C26" s="1"/>
      <c r="D26" s="1"/>
      <c r="E26" s="1"/>
      <c r="F26" s="290"/>
      <c r="G26" s="291"/>
      <c r="L26" s="14"/>
      <c r="M26" s="1"/>
      <c r="N26" s="1"/>
      <c r="O26" s="1"/>
      <c r="P26" s="1"/>
      <c r="Q26" s="1"/>
      <c r="R26" s="1"/>
      <c r="S26" s="6"/>
    </row>
    <row r="27" spans="1:19" ht="19.5" customHeight="1">
      <c r="A27" s="1"/>
      <c r="B27" s="1"/>
      <c r="C27" s="1"/>
      <c r="D27" s="1"/>
      <c r="E27" s="1"/>
      <c r="F27" s="290"/>
      <c r="I27" s="1"/>
      <c r="J27" s="1"/>
      <c r="L27" s="14"/>
      <c r="M27" s="1"/>
      <c r="N27" s="1"/>
      <c r="O27" s="1"/>
      <c r="P27" s="6"/>
      <c r="Q27" s="6"/>
      <c r="R27" s="6"/>
      <c r="S27" s="6"/>
    </row>
    <row r="28" spans="17:19" ht="19.5" customHeight="1">
      <c r="Q28" s="6"/>
      <c r="R28" s="6"/>
      <c r="S28" s="6"/>
    </row>
    <row r="29" spans="17:19" ht="19.5" customHeight="1">
      <c r="Q29" s="6"/>
      <c r="R29" s="6"/>
      <c r="S29" s="6"/>
    </row>
    <row r="30" spans="17:19" ht="13.5" customHeight="1">
      <c r="Q30" s="6"/>
      <c r="R30" s="6"/>
      <c r="S30" s="6"/>
    </row>
    <row r="31" spans="17:19" ht="15" customHeight="1" hidden="1">
      <c r="Q31" s="6"/>
      <c r="R31" s="6"/>
      <c r="S31" s="6"/>
    </row>
    <row r="32" spans="17:19" ht="15" customHeight="1" hidden="1">
      <c r="Q32" s="6"/>
      <c r="R32" s="6"/>
      <c r="S32" s="6"/>
    </row>
    <row r="33" spans="17:19" ht="15" customHeight="1" hidden="1">
      <c r="Q33" s="6"/>
      <c r="R33" s="6"/>
      <c r="S33" s="6"/>
    </row>
    <row r="34" spans="17:19" ht="13.5" customHeight="1" hidden="1">
      <c r="Q34" s="6"/>
      <c r="R34" s="6"/>
      <c r="S34" s="6"/>
    </row>
    <row r="35" spans="1:19" ht="44.25" customHeight="1" hidden="1">
      <c r="A35" s="6" t="s">
        <v>72</v>
      </c>
      <c r="B35" s="398" t="s">
        <v>175</v>
      </c>
      <c r="C35" s="398"/>
      <c r="D35" s="398"/>
      <c r="E35" s="398"/>
      <c r="F35" s="398"/>
      <c r="G35" s="398"/>
      <c r="H35" s="398"/>
      <c r="I35" s="398"/>
      <c r="J35" s="398"/>
      <c r="K35" s="398"/>
      <c r="L35" s="398"/>
      <c r="M35" s="398"/>
      <c r="N35" s="398"/>
      <c r="O35" s="398"/>
      <c r="P35" s="398"/>
      <c r="Q35" s="6"/>
      <c r="R35" s="6"/>
      <c r="S35" s="6"/>
    </row>
    <row r="36" spans="1:19" ht="13.5" customHeight="1" hidden="1">
      <c r="A36" s="1"/>
      <c r="B36" s="356"/>
      <c r="C36" s="356"/>
      <c r="D36" s="356"/>
      <c r="E36" s="356"/>
      <c r="F36" s="356"/>
      <c r="G36" s="356"/>
      <c r="H36" s="356"/>
      <c r="I36" s="356"/>
      <c r="J36" s="356"/>
      <c r="K36" s="356"/>
      <c r="L36" s="356"/>
      <c r="M36" s="356"/>
      <c r="N36" s="356"/>
      <c r="O36" s="356"/>
      <c r="P36" s="356"/>
      <c r="Q36" s="6"/>
      <c r="R36" s="6"/>
      <c r="S36" s="6"/>
    </row>
    <row r="37" spans="1:19" ht="40.5" customHeight="1" hidden="1">
      <c r="A37" s="6" t="s">
        <v>73</v>
      </c>
      <c r="B37" s="395" t="s">
        <v>176</v>
      </c>
      <c r="C37" s="395"/>
      <c r="D37" s="395"/>
      <c r="E37" s="395"/>
      <c r="F37" s="395"/>
      <c r="G37" s="395"/>
      <c r="H37" s="395"/>
      <c r="I37" s="395"/>
      <c r="J37" s="395"/>
      <c r="K37" s="395"/>
      <c r="L37" s="395"/>
      <c r="M37" s="395"/>
      <c r="N37" s="395"/>
      <c r="O37" s="395"/>
      <c r="P37" s="395"/>
      <c r="Q37" s="6"/>
      <c r="R37" s="6"/>
      <c r="S37" s="6"/>
    </row>
    <row r="38" spans="1:16" ht="13.5" customHeight="1" hidden="1">
      <c r="A38" s="6"/>
      <c r="B38" s="357"/>
      <c r="C38" s="357"/>
      <c r="D38" s="357"/>
      <c r="E38" s="357"/>
      <c r="F38" s="357"/>
      <c r="G38" s="357"/>
      <c r="H38" s="357"/>
      <c r="I38" s="357"/>
      <c r="J38" s="357"/>
      <c r="K38" s="357"/>
      <c r="L38" s="357"/>
      <c r="M38" s="357"/>
      <c r="N38" s="357"/>
      <c r="O38" s="357"/>
      <c r="P38" s="357"/>
    </row>
    <row r="39" spans="1:16" ht="45.75" customHeight="1" hidden="1">
      <c r="A39" s="6" t="s">
        <v>74</v>
      </c>
      <c r="B39" s="396" t="s">
        <v>177</v>
      </c>
      <c r="C39" s="396"/>
      <c r="D39" s="396"/>
      <c r="E39" s="396"/>
      <c r="F39" s="396"/>
      <c r="G39" s="396"/>
      <c r="H39" s="396"/>
      <c r="I39" s="396"/>
      <c r="J39" s="396"/>
      <c r="K39" s="396"/>
      <c r="L39" s="396"/>
      <c r="M39" s="396"/>
      <c r="N39" s="396"/>
      <c r="O39" s="396"/>
      <c r="P39" s="396"/>
    </row>
    <row r="40" spans="1:16" ht="13.5" customHeight="1" hidden="1">
      <c r="A40" s="6"/>
      <c r="B40" s="358"/>
      <c r="C40" s="358"/>
      <c r="D40" s="358"/>
      <c r="E40" s="358"/>
      <c r="F40" s="358"/>
      <c r="G40" s="358"/>
      <c r="H40" s="358"/>
      <c r="I40" s="358"/>
      <c r="J40" s="358"/>
      <c r="K40" s="358"/>
      <c r="L40" s="358"/>
      <c r="M40" s="358"/>
      <c r="N40" s="358"/>
      <c r="O40" s="358"/>
      <c r="P40" s="358"/>
    </row>
    <row r="41" spans="2:16" ht="33.75" customHeight="1" hidden="1">
      <c r="B41" s="398" t="s">
        <v>178</v>
      </c>
      <c r="C41" s="398"/>
      <c r="D41" s="398"/>
      <c r="E41" s="398"/>
      <c r="F41" s="398"/>
      <c r="G41" s="398"/>
      <c r="H41" s="398"/>
      <c r="I41" s="398"/>
      <c r="J41" s="398"/>
      <c r="K41" s="398"/>
      <c r="L41" s="398"/>
      <c r="M41" s="398"/>
      <c r="N41" s="398"/>
      <c r="O41" s="398"/>
      <c r="P41" s="398"/>
    </row>
    <row r="42" spans="1:16" ht="13.5" customHeight="1" hidden="1">
      <c r="A42" s="6"/>
      <c r="B42" s="359"/>
      <c r="C42" s="359"/>
      <c r="D42" s="359"/>
      <c r="E42" s="359"/>
      <c r="F42" s="359"/>
      <c r="G42" s="359"/>
      <c r="H42" s="359"/>
      <c r="I42" s="359"/>
      <c r="J42" s="359"/>
      <c r="K42" s="359"/>
      <c r="L42" s="359"/>
      <c r="M42" s="359"/>
      <c r="N42" s="359"/>
      <c r="O42" s="359"/>
      <c r="P42" s="359"/>
    </row>
    <row r="43" spans="1:16" ht="30.75" customHeight="1" hidden="1">
      <c r="A43" s="6"/>
      <c r="B43" s="395" t="s">
        <v>179</v>
      </c>
      <c r="C43" s="395"/>
      <c r="D43" s="395"/>
      <c r="E43" s="395"/>
      <c r="F43" s="395"/>
      <c r="G43" s="395"/>
      <c r="H43" s="395"/>
      <c r="I43" s="395"/>
      <c r="J43" s="395"/>
      <c r="K43" s="395"/>
      <c r="L43" s="395"/>
      <c r="M43" s="395"/>
      <c r="N43" s="395"/>
      <c r="O43" s="395"/>
      <c r="P43" s="395"/>
    </row>
    <row r="44" spans="1:16" ht="13.5" customHeight="1" hidden="1">
      <c r="A44" s="6"/>
      <c r="B44" s="359"/>
      <c r="C44" s="359"/>
      <c r="D44" s="359"/>
      <c r="E44" s="359"/>
      <c r="F44" s="359"/>
      <c r="G44" s="359"/>
      <c r="H44" s="359"/>
      <c r="I44" s="359"/>
      <c r="J44" s="359"/>
      <c r="K44" s="359"/>
      <c r="L44" s="359"/>
      <c r="M44" s="359"/>
      <c r="N44" s="359"/>
      <c r="O44" s="359"/>
      <c r="P44" s="359"/>
    </row>
    <row r="45" spans="2:16" ht="31.5" customHeight="1" hidden="1">
      <c r="B45" s="396" t="s">
        <v>180</v>
      </c>
      <c r="C45" s="396"/>
      <c r="D45" s="396"/>
      <c r="E45" s="396"/>
      <c r="F45" s="396"/>
      <c r="G45" s="396"/>
      <c r="H45" s="396"/>
      <c r="I45" s="396"/>
      <c r="J45" s="396"/>
      <c r="K45" s="396"/>
      <c r="L45" s="396"/>
      <c r="M45" s="396"/>
      <c r="N45" s="396"/>
      <c r="O45" s="396"/>
      <c r="P45" s="396"/>
    </row>
    <row r="46" ht="15" customHeight="1" hidden="1"/>
    <row r="47" ht="15" customHeight="1" hidden="1"/>
    <row r="48" ht="15" customHeight="1" hidden="1"/>
    <row r="49" ht="15" customHeight="1" hidden="1"/>
    <row r="50" ht="15" customHeight="1" hidden="1"/>
  </sheetData>
  <sheetProtection password="EF77" sheet="1" objects="1" scenarios="1"/>
  <mergeCells count="12">
    <mergeCell ref="B43:P43"/>
    <mergeCell ref="B45:P45"/>
    <mergeCell ref="F7:I7"/>
    <mergeCell ref="B35:P35"/>
    <mergeCell ref="B37:P37"/>
    <mergeCell ref="B39:P39"/>
    <mergeCell ref="B41:P41"/>
    <mergeCell ref="B3:P3"/>
    <mergeCell ref="B5:P5"/>
    <mergeCell ref="H8:H10"/>
    <mergeCell ref="J8:P8"/>
    <mergeCell ref="J9:P9"/>
  </mergeCell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3" r:id="rId1"/>
  <headerFooter alignWithMargins="0">
    <oddFooter>&amp;L&amp;F / &amp;A / &amp;D&amp;R Seite &amp;P von &amp;N</oddFooter>
  </headerFooter>
</worksheet>
</file>

<file path=xl/worksheets/sheet2.xml><?xml version="1.0" encoding="utf-8"?>
<worksheet xmlns="http://schemas.openxmlformats.org/spreadsheetml/2006/main" xmlns:r="http://schemas.openxmlformats.org/officeDocument/2006/relationships">
  <sheetPr codeName="Tabelle2"/>
  <dimension ref="A2:O75"/>
  <sheetViews>
    <sheetView showGridLines="0" showRowColHeaders="0" workbookViewId="0" topLeftCell="A1">
      <selection activeCell="S7" sqref="S7"/>
    </sheetView>
  </sheetViews>
  <sheetFormatPr defaultColWidth="11.421875" defaultRowHeight="12.75"/>
  <cols>
    <col min="1" max="1" width="3.57421875" style="351" bestFit="1" customWidth="1"/>
    <col min="2" max="2" width="4.8515625" style="351" customWidth="1"/>
    <col min="3" max="3" width="2.57421875" style="351" customWidth="1"/>
    <col min="4" max="4" width="11.421875" style="169" customWidth="1"/>
    <col min="5" max="15" width="11.421875" style="351" customWidth="1"/>
    <col min="16" max="16" width="2.7109375" style="351" customWidth="1"/>
    <col min="17" max="16384" width="11.421875" style="351" customWidth="1"/>
  </cols>
  <sheetData>
    <row r="1" ht="15" customHeight="1"/>
    <row r="2" spans="2:14" ht="15" customHeight="1">
      <c r="B2" s="401" t="str">
        <f>IF(Info!H8&gt;2.5,D42,IF(Info!H8&gt;1.5,D32,D22))</f>
        <v>Programı kullanırken:</v>
      </c>
      <c r="C2" s="401"/>
      <c r="D2" s="401"/>
      <c r="E2" s="401"/>
      <c r="F2" s="401"/>
      <c r="G2" s="401"/>
      <c r="K2" s="402" t="str">
        <f>Info!K7</f>
        <v>Copyright : M. G. Kutay , Ver 14.04</v>
      </c>
      <c r="L2" s="402"/>
      <c r="M2" s="402"/>
      <c r="N2" s="402"/>
    </row>
    <row r="3" ht="15" customHeight="1">
      <c r="B3" s="352"/>
    </row>
    <row r="4" spans="2:15" ht="45" customHeight="1">
      <c r="B4" s="353">
        <v>1</v>
      </c>
      <c r="D4" s="397" t="str">
        <f>IF(Info!H8&gt;2.5,D43,IF(Info!H8&gt;1.5,D33,D23))</f>
        <v>Bu programı bilgisayarınızda kendinize göre bir yere kopyasını çıkarınız. Hesap yapacağınız zaman bilgisayardaki programı kullanınız. Çünkü CD ile çalıştığınızda yaptığınız hesapları CD ye kayıt edemessiniz. CD yi emniyetli bir yerde saklayınız. Bilgisayarla yaptığınız hesapları istediğiniz yere ve istediğiniz adla kayıt edebilirsiniz.</v>
      </c>
      <c r="E4" s="397"/>
      <c r="F4" s="397"/>
      <c r="G4" s="397"/>
      <c r="H4" s="397"/>
      <c r="I4" s="397"/>
      <c r="J4" s="397"/>
      <c r="K4" s="397"/>
      <c r="L4" s="397"/>
      <c r="M4" s="397"/>
      <c r="N4" s="397"/>
      <c r="O4" s="397"/>
    </row>
    <row r="5" ht="15" customHeight="1"/>
    <row r="6" spans="2:15" ht="35.25" customHeight="1">
      <c r="B6" s="353">
        <f>B4+1</f>
        <v>2</v>
      </c>
      <c r="D6" s="397" t="str">
        <f>IF(Info!H8&gt;2.5,D44,IF(Info!H8&gt;1.5,D34,D24))</f>
        <v>Kullanacağınız sayfaya gelince, hesaplamaya başlamadan önce, bütün mavi karelerdeki değerleri siliniz. Böylece dikkatsizlik yanlışı yapma imkanını ortadan kaldırmış olursunuz.</v>
      </c>
      <c r="E6" s="397"/>
      <c r="F6" s="397"/>
      <c r="G6" s="397"/>
      <c r="H6" s="397"/>
      <c r="I6" s="397"/>
      <c r="J6" s="397"/>
      <c r="K6" s="397"/>
      <c r="L6" s="397"/>
      <c r="M6" s="397"/>
      <c r="N6" s="397"/>
      <c r="O6" s="397"/>
    </row>
    <row r="7" spans="2:15" ht="15" customHeight="1">
      <c r="B7" s="354"/>
      <c r="E7" s="355"/>
      <c r="F7" s="355"/>
      <c r="G7" s="355"/>
      <c r="H7" s="355"/>
      <c r="I7" s="355"/>
      <c r="J7" s="355"/>
      <c r="K7" s="355"/>
      <c r="L7" s="355"/>
      <c r="M7" s="355"/>
      <c r="N7" s="355"/>
      <c r="O7" s="355"/>
    </row>
    <row r="8" spans="2:15" ht="30" customHeight="1">
      <c r="B8" s="353">
        <f>B6+1</f>
        <v>3</v>
      </c>
      <c r="D8" s="397" t="str">
        <f>IF(Info!H8&gt;2.5,D45,IF(Info!H8&gt;1.5,D35,D25))</f>
        <v>Sıra ile mavi karelere yapacağınız hesaba ait değerleri dikkatlice yerleştiriniz. Hesaplamalarınız için gerekli olmayan mavi karelere değerler yerleştirmek yanlış hesap sonuçlarına sebep olabilir. Dikkatli olmak gereklidir.</v>
      </c>
      <c r="E8" s="397"/>
      <c r="F8" s="397"/>
      <c r="G8" s="397"/>
      <c r="H8" s="397"/>
      <c r="I8" s="397"/>
      <c r="J8" s="397"/>
      <c r="K8" s="397"/>
      <c r="L8" s="397"/>
      <c r="M8" s="397"/>
      <c r="N8" s="397"/>
      <c r="O8" s="397"/>
    </row>
    <row r="9" spans="2:15" ht="15" customHeight="1">
      <c r="B9" s="353"/>
      <c r="E9" s="355"/>
      <c r="F9" s="355"/>
      <c r="G9" s="355"/>
      <c r="H9" s="355"/>
      <c r="I9" s="355"/>
      <c r="J9" s="355"/>
      <c r="K9" s="355"/>
      <c r="L9" s="355"/>
      <c r="M9" s="355"/>
      <c r="N9" s="355"/>
      <c r="O9" s="355"/>
    </row>
    <row r="10" spans="2:15" ht="35.25" customHeight="1">
      <c r="B10" s="353">
        <f>B8+1</f>
        <v>4</v>
      </c>
      <c r="D10" s="399" t="str">
        <f>IF(Info!H8&gt;2.5,D46,IF(Info!H8&gt;1.5,D36,D26))</f>
        <v>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v>
      </c>
      <c r="E10" s="399"/>
      <c r="F10" s="399"/>
      <c r="G10" s="399"/>
      <c r="H10" s="399"/>
      <c r="I10" s="399"/>
      <c r="J10" s="399"/>
      <c r="K10" s="399"/>
      <c r="L10" s="399"/>
      <c r="M10" s="399"/>
      <c r="N10" s="399"/>
      <c r="O10" s="399"/>
    </row>
    <row r="11" spans="2:15" ht="15" customHeight="1">
      <c r="B11" s="354"/>
      <c r="E11" s="355"/>
      <c r="F11" s="355"/>
      <c r="G11" s="355"/>
      <c r="H11" s="355"/>
      <c r="I11" s="355"/>
      <c r="J11" s="355"/>
      <c r="K11" s="355"/>
      <c r="L11" s="355"/>
      <c r="M11" s="355"/>
      <c r="N11" s="355"/>
      <c r="O11" s="355"/>
    </row>
    <row r="12" spans="2:15" ht="38.25" customHeight="1">
      <c r="B12" s="353">
        <f>B10+1</f>
        <v>5</v>
      </c>
      <c r="D12" s="399" t="str">
        <f>IF(Info!H8&gt;2.5,D47,IF(Info!H8&gt;1.5,D37,D27))</f>
        <v>Çoğu mavi karenin çevresinde değerlerin nereden alınması gerektiğini gösteren bilgi bulunmaktadır. Bu gösterilere uyulması hesapların doğruluğu açısından çok önemlidir.</v>
      </c>
      <c r="E12" s="399"/>
      <c r="F12" s="399"/>
      <c r="G12" s="399"/>
      <c r="H12" s="399"/>
      <c r="I12" s="399"/>
      <c r="J12" s="399"/>
      <c r="K12" s="399"/>
      <c r="L12" s="399"/>
      <c r="M12" s="399"/>
      <c r="N12" s="399"/>
      <c r="O12" s="399"/>
    </row>
    <row r="13" spans="2:15" ht="15" customHeight="1">
      <c r="B13" s="354"/>
      <c r="E13" s="355"/>
      <c r="F13" s="355"/>
      <c r="G13" s="355"/>
      <c r="H13" s="355"/>
      <c r="I13" s="355"/>
      <c r="J13" s="355"/>
      <c r="K13" s="355"/>
      <c r="L13" s="355"/>
      <c r="M13" s="355"/>
      <c r="N13" s="355"/>
      <c r="O13" s="355"/>
    </row>
    <row r="14" spans="2:15" ht="60" customHeight="1">
      <c r="B14" s="353">
        <f>B12+1</f>
        <v>6</v>
      </c>
      <c r="D14" s="399" t="str">
        <f>IF(Info!H8&gt;2.5,D48,IF(Info!H8&gt;1.5,D38,D28))</f>
        <v>Bazı karelere kitaptan alınması gereken bilgiler gereklidir ve nereden alınacağı tam olarak belirtilmemiştir. Bu durumda, hesapları bilinçli yapabilmek için, hesaba başlamadan önce zaman ayırıp kitapta verilen teoriyi ve gerekiyorsa başka literatürlerdende gerekli bilgileri edinmek avantajdır.</v>
      </c>
      <c r="E14" s="399"/>
      <c r="F14" s="399"/>
      <c r="G14" s="399"/>
      <c r="H14" s="399"/>
      <c r="I14" s="399"/>
      <c r="J14" s="399"/>
      <c r="K14" s="399"/>
      <c r="L14" s="399"/>
      <c r="M14" s="399"/>
      <c r="N14" s="399"/>
      <c r="O14" s="399"/>
    </row>
    <row r="15" spans="2:15" ht="15" customHeight="1">
      <c r="B15" s="354"/>
      <c r="E15" s="355"/>
      <c r="F15" s="355"/>
      <c r="G15" s="355"/>
      <c r="H15" s="355"/>
      <c r="I15" s="355"/>
      <c r="J15" s="355"/>
      <c r="K15" s="355"/>
      <c r="L15" s="355"/>
      <c r="M15" s="355"/>
      <c r="N15" s="355"/>
      <c r="O15" s="355"/>
    </row>
    <row r="16" spans="2:15" ht="75" customHeight="1">
      <c r="B16" s="353">
        <f>B14+1</f>
        <v>7</v>
      </c>
      <c r="D16" s="399" t="str">
        <f>IF(Info!H8&gt;2.5,D49,IF(Info!H8&gt;1.5,D39,D29))</f>
        <v>Genel olarak her hesap sayfasının sağ alt köşesinde program sonuçları bilgisayar tarafından değerlendirilir. Bu değerlendirme bilgi sayar tarafından yapılan mekanik bir değerlendirmedir. Konstruktör bu sonuçları kendi aklı selimi, yani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v>
      </c>
      <c r="E16" s="399"/>
      <c r="F16" s="399"/>
      <c r="G16" s="399"/>
      <c r="H16" s="399"/>
      <c r="I16" s="399"/>
      <c r="J16" s="399"/>
      <c r="K16" s="399"/>
      <c r="L16" s="399"/>
      <c r="M16" s="399"/>
      <c r="N16" s="399"/>
      <c r="O16" s="399"/>
    </row>
    <row r="17" ht="15" customHeight="1">
      <c r="B17" s="354"/>
    </row>
    <row r="18" spans="2:15" ht="30" customHeight="1">
      <c r="B18" s="353">
        <f>B16+1</f>
        <v>8</v>
      </c>
      <c r="D18" s="397" t="str">
        <f>IF(Info!H8&gt;2.5,D50,IF(Info!H8&gt;1.5,D40,D30))</f>
        <v>Eğer özel bir konstruksiyonun hesabı gerekiyorsa veya öğrenmek istediğiniz bir şey varsa, hiç çekinmeden benimle temasa geçebilirsiniz. Bilgimin yettiği ve vaktimin olduğu kadar size memnuniyetle yardım ederim.</v>
      </c>
      <c r="E18" s="397"/>
      <c r="F18" s="397"/>
      <c r="G18" s="397"/>
      <c r="H18" s="397"/>
      <c r="I18" s="397"/>
      <c r="J18" s="397"/>
      <c r="K18" s="397"/>
      <c r="L18" s="397"/>
      <c r="M18" s="397"/>
      <c r="N18" s="397"/>
      <c r="O18" s="397"/>
    </row>
    <row r="19" ht="15" customHeight="1">
      <c r="B19" s="354"/>
    </row>
    <row r="20" ht="15" customHeight="1">
      <c r="B20" s="354"/>
    </row>
    <row r="21" ht="15" customHeight="1" hidden="1">
      <c r="B21" s="354"/>
    </row>
    <row r="22" spans="1:15" ht="15" customHeight="1" hidden="1">
      <c r="A22" s="168" t="s">
        <v>72</v>
      </c>
      <c r="D22" s="169" t="s">
        <v>75</v>
      </c>
      <c r="E22" s="169"/>
      <c r="F22" s="169"/>
      <c r="G22" s="169"/>
      <c r="H22" s="169"/>
      <c r="I22" s="169"/>
      <c r="J22" s="169"/>
      <c r="K22" s="169"/>
      <c r="L22" s="169"/>
      <c r="M22" s="169"/>
      <c r="N22" s="169"/>
      <c r="O22" s="169"/>
    </row>
    <row r="23" spans="2:15" s="168" customFormat="1" ht="49.5" customHeight="1" hidden="1">
      <c r="B23" s="170">
        <v>1</v>
      </c>
      <c r="C23" s="169"/>
      <c r="D23" s="400" t="s">
        <v>76</v>
      </c>
      <c r="E23" s="400"/>
      <c r="F23" s="400"/>
      <c r="G23" s="400"/>
      <c r="H23" s="400"/>
      <c r="I23" s="400"/>
      <c r="J23" s="400"/>
      <c r="K23" s="400"/>
      <c r="L23" s="400"/>
      <c r="M23" s="400"/>
      <c r="N23" s="400"/>
      <c r="O23" s="169"/>
    </row>
    <row r="24" spans="2:14" s="168" customFormat="1" ht="28.5" customHeight="1" hidden="1">
      <c r="B24" s="170">
        <f>B23+1</f>
        <v>2</v>
      </c>
      <c r="D24" s="400" t="s">
        <v>77</v>
      </c>
      <c r="E24" s="400"/>
      <c r="F24" s="400"/>
      <c r="G24" s="400"/>
      <c r="H24" s="400"/>
      <c r="I24" s="400"/>
      <c r="J24" s="400"/>
      <c r="K24" s="400"/>
      <c r="L24" s="400"/>
      <c r="M24" s="400"/>
      <c r="N24" s="400"/>
    </row>
    <row r="25" spans="2:14" s="168" customFormat="1" ht="34.5" customHeight="1" hidden="1">
      <c r="B25" s="170">
        <f aca="true" t="shared" si="0" ref="B25:B30">B24+1</f>
        <v>3</v>
      </c>
      <c r="D25" s="400" t="s">
        <v>78</v>
      </c>
      <c r="E25" s="400"/>
      <c r="F25" s="400"/>
      <c r="G25" s="400"/>
      <c r="H25" s="400"/>
      <c r="I25" s="400"/>
      <c r="J25" s="400"/>
      <c r="K25" s="400"/>
      <c r="L25" s="400"/>
      <c r="M25" s="400"/>
      <c r="N25" s="400"/>
    </row>
    <row r="26" spans="2:14" s="168" customFormat="1" ht="41.25" customHeight="1" hidden="1">
      <c r="B26" s="170">
        <f t="shared" si="0"/>
        <v>4</v>
      </c>
      <c r="D26" s="400" t="s">
        <v>79</v>
      </c>
      <c r="E26" s="400"/>
      <c r="F26" s="400"/>
      <c r="G26" s="400"/>
      <c r="H26" s="400"/>
      <c r="I26" s="400"/>
      <c r="J26" s="400"/>
      <c r="K26" s="400"/>
      <c r="L26" s="400"/>
      <c r="M26" s="400"/>
      <c r="N26" s="400"/>
    </row>
    <row r="27" spans="2:14" s="168" customFormat="1" ht="51" customHeight="1" hidden="1">
      <c r="B27" s="170">
        <f t="shared" si="0"/>
        <v>5</v>
      </c>
      <c r="D27" s="400" t="s">
        <v>80</v>
      </c>
      <c r="E27" s="400"/>
      <c r="F27" s="400"/>
      <c r="G27" s="400"/>
      <c r="H27" s="400"/>
      <c r="I27" s="400"/>
      <c r="J27" s="400"/>
      <c r="K27" s="400"/>
      <c r="L27" s="400"/>
      <c r="M27" s="400"/>
      <c r="N27" s="400"/>
    </row>
    <row r="28" spans="2:14" s="168" customFormat="1" ht="47.25" customHeight="1" hidden="1">
      <c r="B28" s="170">
        <f t="shared" si="0"/>
        <v>6</v>
      </c>
      <c r="D28" s="400" t="s">
        <v>81</v>
      </c>
      <c r="E28" s="400"/>
      <c r="F28" s="400"/>
      <c r="G28" s="400"/>
      <c r="H28" s="400"/>
      <c r="I28" s="400"/>
      <c r="J28" s="400"/>
      <c r="K28" s="400"/>
      <c r="L28" s="400"/>
      <c r="M28" s="400"/>
      <c r="N28" s="400"/>
    </row>
    <row r="29" spans="2:14" s="168" customFormat="1" ht="76.5" customHeight="1" hidden="1">
      <c r="B29" s="170">
        <f t="shared" si="0"/>
        <v>7</v>
      </c>
      <c r="D29" s="400" t="s">
        <v>82</v>
      </c>
      <c r="E29" s="400"/>
      <c r="F29" s="400"/>
      <c r="G29" s="400"/>
      <c r="H29" s="400"/>
      <c r="I29" s="400"/>
      <c r="J29" s="400"/>
      <c r="K29" s="400"/>
      <c r="L29" s="400"/>
      <c r="M29" s="400"/>
      <c r="N29" s="400"/>
    </row>
    <row r="30" spans="2:14" s="168" customFormat="1" ht="39.75" customHeight="1" hidden="1">
      <c r="B30" s="170">
        <f t="shared" si="0"/>
        <v>8</v>
      </c>
      <c r="D30" s="400" t="s">
        <v>174</v>
      </c>
      <c r="E30" s="400"/>
      <c r="F30" s="400"/>
      <c r="G30" s="400"/>
      <c r="H30" s="400"/>
      <c r="I30" s="400"/>
      <c r="J30" s="400"/>
      <c r="K30" s="400"/>
      <c r="L30" s="400"/>
      <c r="M30" s="400"/>
      <c r="N30" s="400"/>
    </row>
    <row r="31" spans="2:14" s="168" customFormat="1" ht="15" customHeight="1" hidden="1">
      <c r="B31" s="170"/>
      <c r="D31" s="169"/>
      <c r="E31" s="169"/>
      <c r="F31" s="169"/>
      <c r="G31" s="169"/>
      <c r="H31" s="169"/>
      <c r="I31" s="169"/>
      <c r="J31" s="169"/>
      <c r="K31" s="169"/>
      <c r="L31" s="169"/>
      <c r="M31" s="169"/>
      <c r="N31" s="169"/>
    </row>
    <row r="32" spans="1:14" s="168" customFormat="1" ht="39.75" customHeight="1" hidden="1">
      <c r="A32" s="168" t="s">
        <v>73</v>
      </c>
      <c r="D32" s="400" t="s">
        <v>83</v>
      </c>
      <c r="E32" s="400"/>
      <c r="F32" s="400"/>
      <c r="G32" s="400"/>
      <c r="H32" s="400"/>
      <c r="I32" s="400"/>
      <c r="J32" s="400"/>
      <c r="K32" s="400"/>
      <c r="L32" s="400"/>
      <c r="M32" s="400"/>
      <c r="N32" s="400"/>
    </row>
    <row r="33" spans="2:15" s="168" customFormat="1" ht="60" customHeight="1" hidden="1">
      <c r="B33" s="170">
        <v>1</v>
      </c>
      <c r="D33" s="400" t="s">
        <v>84</v>
      </c>
      <c r="E33" s="400"/>
      <c r="F33" s="400"/>
      <c r="G33" s="400"/>
      <c r="H33" s="400"/>
      <c r="I33" s="400"/>
      <c r="J33" s="400"/>
      <c r="K33" s="400"/>
      <c r="L33" s="400"/>
      <c r="M33" s="400"/>
      <c r="N33" s="400"/>
      <c r="O33" s="400"/>
    </row>
    <row r="34" spans="2:15" s="168" customFormat="1" ht="60" customHeight="1" hidden="1">
      <c r="B34" s="170">
        <f aca="true" t="shared" si="1" ref="B34:B39">B33+1</f>
        <v>2</v>
      </c>
      <c r="D34" s="400" t="s">
        <v>85</v>
      </c>
      <c r="E34" s="400"/>
      <c r="F34" s="400"/>
      <c r="G34" s="400"/>
      <c r="H34" s="400"/>
      <c r="I34" s="400"/>
      <c r="J34" s="400"/>
      <c r="K34" s="400"/>
      <c r="L34" s="400"/>
      <c r="M34" s="400"/>
      <c r="N34" s="400"/>
      <c r="O34" s="400"/>
    </row>
    <row r="35" spans="2:15" s="168" customFormat="1" ht="60" customHeight="1" hidden="1">
      <c r="B35" s="170">
        <f t="shared" si="1"/>
        <v>3</v>
      </c>
      <c r="D35" s="400" t="s">
        <v>86</v>
      </c>
      <c r="E35" s="400"/>
      <c r="F35" s="400"/>
      <c r="G35" s="400"/>
      <c r="H35" s="400"/>
      <c r="I35" s="400"/>
      <c r="J35" s="400"/>
      <c r="K35" s="400"/>
      <c r="L35" s="400"/>
      <c r="M35" s="400"/>
      <c r="N35" s="400"/>
      <c r="O35" s="400"/>
    </row>
    <row r="36" spans="2:15" s="168" customFormat="1" ht="60" customHeight="1" hidden="1">
      <c r="B36" s="170">
        <f t="shared" si="1"/>
        <v>4</v>
      </c>
      <c r="D36" s="400" t="s">
        <v>87</v>
      </c>
      <c r="E36" s="400"/>
      <c r="F36" s="400"/>
      <c r="G36" s="400"/>
      <c r="H36" s="400"/>
      <c r="I36" s="400"/>
      <c r="J36" s="400"/>
      <c r="K36" s="400"/>
      <c r="L36" s="400"/>
      <c r="M36" s="400"/>
      <c r="N36" s="400"/>
      <c r="O36" s="400"/>
    </row>
    <row r="37" spans="2:15" s="168" customFormat="1" ht="60" customHeight="1" hidden="1">
      <c r="B37" s="170">
        <f t="shared" si="1"/>
        <v>5</v>
      </c>
      <c r="D37" s="400" t="s">
        <v>88</v>
      </c>
      <c r="E37" s="400"/>
      <c r="F37" s="400"/>
      <c r="G37" s="400"/>
      <c r="H37" s="400"/>
      <c r="I37" s="400"/>
      <c r="J37" s="400"/>
      <c r="K37" s="400"/>
      <c r="L37" s="400"/>
      <c r="M37" s="400"/>
      <c r="N37" s="400"/>
      <c r="O37" s="400"/>
    </row>
    <row r="38" spans="2:15" s="168" customFormat="1" ht="60" customHeight="1" hidden="1">
      <c r="B38" s="170">
        <f t="shared" si="1"/>
        <v>6</v>
      </c>
      <c r="D38" s="400" t="s">
        <v>89</v>
      </c>
      <c r="E38" s="400"/>
      <c r="F38" s="400"/>
      <c r="G38" s="400"/>
      <c r="H38" s="400"/>
      <c r="I38" s="400"/>
      <c r="J38" s="400"/>
      <c r="K38" s="400"/>
      <c r="L38" s="400"/>
      <c r="M38" s="400"/>
      <c r="N38" s="400"/>
      <c r="O38" s="400"/>
    </row>
    <row r="39" spans="2:15" s="168" customFormat="1" ht="60" customHeight="1" hidden="1">
      <c r="B39" s="170">
        <f t="shared" si="1"/>
        <v>7</v>
      </c>
      <c r="D39" s="400" t="s">
        <v>90</v>
      </c>
      <c r="E39" s="400"/>
      <c r="F39" s="400"/>
      <c r="G39" s="400"/>
      <c r="H39" s="400"/>
      <c r="I39" s="400"/>
      <c r="J39" s="400"/>
      <c r="K39" s="400"/>
      <c r="L39" s="400"/>
      <c r="M39" s="400"/>
      <c r="N39" s="400"/>
      <c r="O39" s="400"/>
    </row>
    <row r="40" spans="2:15" s="168" customFormat="1" ht="60" customHeight="1" hidden="1">
      <c r="B40" s="171">
        <f>B30</f>
        <v>8</v>
      </c>
      <c r="D40" s="400" t="s">
        <v>91</v>
      </c>
      <c r="E40" s="400"/>
      <c r="F40" s="400"/>
      <c r="G40" s="400"/>
      <c r="H40" s="400"/>
      <c r="I40" s="400"/>
      <c r="J40" s="400"/>
      <c r="K40" s="400"/>
      <c r="L40" s="400"/>
      <c r="M40" s="400"/>
      <c r="N40" s="400"/>
      <c r="O40" s="400"/>
    </row>
    <row r="41" spans="4:14" s="168" customFormat="1" ht="60" customHeight="1" hidden="1">
      <c r="D41" s="169"/>
      <c r="E41" s="169"/>
      <c r="F41" s="169"/>
      <c r="G41" s="169"/>
      <c r="H41" s="169"/>
      <c r="I41" s="169"/>
      <c r="J41" s="169"/>
      <c r="K41" s="169"/>
      <c r="L41" s="169"/>
      <c r="M41" s="169"/>
      <c r="N41" s="169"/>
    </row>
    <row r="42" spans="1:14" s="168" customFormat="1" ht="60" customHeight="1" hidden="1">
      <c r="A42" s="168" t="s">
        <v>74</v>
      </c>
      <c r="D42" s="400" t="s">
        <v>92</v>
      </c>
      <c r="E42" s="400"/>
      <c r="F42" s="400"/>
      <c r="G42" s="400"/>
      <c r="H42" s="400"/>
      <c r="I42" s="400"/>
      <c r="J42" s="400"/>
      <c r="K42" s="400"/>
      <c r="L42" s="400"/>
      <c r="M42" s="400"/>
      <c r="N42" s="400"/>
    </row>
    <row r="43" spans="2:15" s="168" customFormat="1" ht="60" customHeight="1" hidden="1">
      <c r="B43" s="170">
        <v>1</v>
      </c>
      <c r="D43" s="400" t="s">
        <v>166</v>
      </c>
      <c r="E43" s="400"/>
      <c r="F43" s="400"/>
      <c r="G43" s="400"/>
      <c r="H43" s="400"/>
      <c r="I43" s="400"/>
      <c r="J43" s="400"/>
      <c r="K43" s="400"/>
      <c r="L43" s="400"/>
      <c r="M43" s="400"/>
      <c r="N43" s="400"/>
      <c r="O43" s="400"/>
    </row>
    <row r="44" spans="2:15" s="168" customFormat="1" ht="60" customHeight="1" hidden="1">
      <c r="B44" s="170">
        <f aca="true" t="shared" si="2" ref="B44:B49">B43+1</f>
        <v>2</v>
      </c>
      <c r="D44" s="400" t="s">
        <v>167</v>
      </c>
      <c r="E44" s="400"/>
      <c r="F44" s="400"/>
      <c r="G44" s="400"/>
      <c r="H44" s="400"/>
      <c r="I44" s="400"/>
      <c r="J44" s="400"/>
      <c r="K44" s="400"/>
      <c r="L44" s="400"/>
      <c r="M44" s="400"/>
      <c r="N44" s="400"/>
      <c r="O44" s="400"/>
    </row>
    <row r="45" spans="2:15" s="168" customFormat="1" ht="60" customHeight="1" hidden="1">
      <c r="B45" s="170">
        <f t="shared" si="2"/>
        <v>3</v>
      </c>
      <c r="D45" s="400" t="s">
        <v>168</v>
      </c>
      <c r="E45" s="400"/>
      <c r="F45" s="400"/>
      <c r="G45" s="400"/>
      <c r="H45" s="400"/>
      <c r="I45" s="400"/>
      <c r="J45" s="400"/>
      <c r="K45" s="400"/>
      <c r="L45" s="400"/>
      <c r="M45" s="400"/>
      <c r="N45" s="400"/>
      <c r="O45" s="400"/>
    </row>
    <row r="46" spans="2:15" s="168" customFormat="1" ht="60" customHeight="1" hidden="1">
      <c r="B46" s="170">
        <f t="shared" si="2"/>
        <v>4</v>
      </c>
      <c r="D46" s="400" t="s">
        <v>169</v>
      </c>
      <c r="E46" s="400"/>
      <c r="F46" s="400"/>
      <c r="G46" s="400"/>
      <c r="H46" s="400"/>
      <c r="I46" s="400"/>
      <c r="J46" s="400"/>
      <c r="K46" s="400"/>
      <c r="L46" s="400"/>
      <c r="M46" s="400"/>
      <c r="N46" s="400"/>
      <c r="O46" s="400"/>
    </row>
    <row r="47" spans="2:15" s="168" customFormat="1" ht="60" customHeight="1" hidden="1">
      <c r="B47" s="170">
        <f t="shared" si="2"/>
        <v>5</v>
      </c>
      <c r="D47" s="400" t="s">
        <v>170</v>
      </c>
      <c r="E47" s="400"/>
      <c r="F47" s="400"/>
      <c r="G47" s="400"/>
      <c r="H47" s="400"/>
      <c r="I47" s="400"/>
      <c r="J47" s="400"/>
      <c r="K47" s="400"/>
      <c r="L47" s="400"/>
      <c r="M47" s="400"/>
      <c r="N47" s="400"/>
      <c r="O47" s="400"/>
    </row>
    <row r="48" spans="2:15" s="168" customFormat="1" ht="60" customHeight="1" hidden="1">
      <c r="B48" s="170">
        <f t="shared" si="2"/>
        <v>6</v>
      </c>
      <c r="D48" s="400" t="s">
        <v>171</v>
      </c>
      <c r="E48" s="400"/>
      <c r="F48" s="400"/>
      <c r="G48" s="400"/>
      <c r="H48" s="400"/>
      <c r="I48" s="400"/>
      <c r="J48" s="400"/>
      <c r="K48" s="400"/>
      <c r="L48" s="400"/>
      <c r="M48" s="400"/>
      <c r="N48" s="400"/>
      <c r="O48" s="400"/>
    </row>
    <row r="49" spans="2:15" s="168" customFormat="1" ht="60" customHeight="1" hidden="1">
      <c r="B49" s="170">
        <f t="shared" si="2"/>
        <v>7</v>
      </c>
      <c r="D49" s="400" t="s">
        <v>172</v>
      </c>
      <c r="E49" s="400"/>
      <c r="F49" s="400"/>
      <c r="G49" s="400"/>
      <c r="H49" s="400"/>
      <c r="I49" s="400"/>
      <c r="J49" s="400"/>
      <c r="K49" s="400"/>
      <c r="L49" s="400"/>
      <c r="M49" s="400"/>
      <c r="N49" s="400"/>
      <c r="O49" s="400"/>
    </row>
    <row r="50" spans="1:15" ht="60" customHeight="1" hidden="1">
      <c r="A50" s="168"/>
      <c r="B50" s="171">
        <f>B40</f>
        <v>8</v>
      </c>
      <c r="C50" s="168"/>
      <c r="D50" s="400" t="s">
        <v>173</v>
      </c>
      <c r="E50" s="400"/>
      <c r="F50" s="400"/>
      <c r="G50" s="400"/>
      <c r="H50" s="400"/>
      <c r="I50" s="400"/>
      <c r="J50" s="400"/>
      <c r="K50" s="400"/>
      <c r="L50" s="400"/>
      <c r="M50" s="400"/>
      <c r="N50" s="400"/>
      <c r="O50" s="400"/>
    </row>
    <row r="51" spans="5:14" ht="15" hidden="1">
      <c r="E51" s="169"/>
      <c r="F51" s="169"/>
      <c r="G51" s="169"/>
      <c r="H51" s="169"/>
      <c r="I51" s="169"/>
      <c r="J51" s="169"/>
      <c r="K51" s="169"/>
      <c r="L51" s="169"/>
      <c r="M51" s="169"/>
      <c r="N51" s="169"/>
    </row>
    <row r="52" spans="5:14" ht="15" hidden="1">
      <c r="E52" s="169"/>
      <c r="F52" s="169"/>
      <c r="G52" s="169"/>
      <c r="H52" s="169"/>
      <c r="I52" s="169"/>
      <c r="J52" s="169"/>
      <c r="K52" s="169"/>
      <c r="L52" s="169"/>
      <c r="M52" s="169"/>
      <c r="N52" s="169"/>
    </row>
    <row r="53" spans="5:14" ht="15" hidden="1">
      <c r="E53" s="169"/>
      <c r="F53" s="169"/>
      <c r="G53" s="169"/>
      <c r="H53" s="169"/>
      <c r="I53" s="169"/>
      <c r="J53" s="169"/>
      <c r="K53" s="169"/>
      <c r="L53" s="169"/>
      <c r="M53" s="169"/>
      <c r="N53" s="169"/>
    </row>
    <row r="54" spans="5:14" ht="15" hidden="1">
      <c r="E54" s="169"/>
      <c r="F54" s="169"/>
      <c r="G54" s="169"/>
      <c r="H54" s="169"/>
      <c r="I54" s="169"/>
      <c r="J54" s="169"/>
      <c r="K54" s="169"/>
      <c r="L54" s="169"/>
      <c r="M54" s="169"/>
      <c r="N54" s="169"/>
    </row>
    <row r="55" spans="5:14" ht="15" hidden="1">
      <c r="E55" s="169"/>
      <c r="F55" s="169"/>
      <c r="G55" s="169"/>
      <c r="H55" s="169"/>
      <c r="I55" s="169"/>
      <c r="J55" s="169"/>
      <c r="K55" s="169"/>
      <c r="L55" s="169"/>
      <c r="M55" s="169"/>
      <c r="N55" s="169"/>
    </row>
    <row r="56" spans="5:14" ht="15" hidden="1">
      <c r="E56" s="169"/>
      <c r="F56" s="169"/>
      <c r="G56" s="169"/>
      <c r="H56" s="169"/>
      <c r="I56" s="169"/>
      <c r="J56" s="169"/>
      <c r="K56" s="169"/>
      <c r="L56" s="169"/>
      <c r="M56" s="169"/>
      <c r="N56" s="169"/>
    </row>
    <row r="57" spans="5:14" ht="15" hidden="1">
      <c r="E57" s="169"/>
      <c r="F57" s="169"/>
      <c r="G57" s="169"/>
      <c r="H57" s="169"/>
      <c r="I57" s="169"/>
      <c r="J57" s="169"/>
      <c r="K57" s="169"/>
      <c r="L57" s="169"/>
      <c r="M57" s="169"/>
      <c r="N57" s="169"/>
    </row>
    <row r="58" spans="5:14" ht="15" hidden="1">
      <c r="E58" s="169"/>
      <c r="F58" s="169"/>
      <c r="G58" s="169"/>
      <c r="H58" s="169"/>
      <c r="I58" s="169"/>
      <c r="J58" s="169"/>
      <c r="K58" s="169"/>
      <c r="L58" s="169"/>
      <c r="M58" s="169"/>
      <c r="N58" s="169"/>
    </row>
    <row r="59" spans="5:14" ht="15" hidden="1">
      <c r="E59" s="169"/>
      <c r="F59" s="169"/>
      <c r="G59" s="169"/>
      <c r="H59" s="169"/>
      <c r="I59" s="169"/>
      <c r="J59" s="169"/>
      <c r="K59" s="169"/>
      <c r="L59" s="169"/>
      <c r="M59" s="169"/>
      <c r="N59" s="169"/>
    </row>
    <row r="60" spans="5:14" ht="15" hidden="1">
      <c r="E60" s="169"/>
      <c r="F60" s="169"/>
      <c r="G60" s="169"/>
      <c r="H60" s="169"/>
      <c r="I60" s="169"/>
      <c r="J60" s="169"/>
      <c r="K60" s="169"/>
      <c r="L60" s="169"/>
      <c r="M60" s="169"/>
      <c r="N60" s="169"/>
    </row>
    <row r="61" spans="5:14" ht="15">
      <c r="E61" s="169"/>
      <c r="F61" s="169"/>
      <c r="G61" s="169"/>
      <c r="H61" s="169"/>
      <c r="I61" s="169"/>
      <c r="J61" s="169"/>
      <c r="K61" s="169"/>
      <c r="L61" s="169"/>
      <c r="M61" s="169"/>
      <c r="N61" s="169"/>
    </row>
    <row r="62" spans="5:14" ht="15">
      <c r="E62" s="169"/>
      <c r="F62" s="169"/>
      <c r="G62" s="169"/>
      <c r="H62" s="169"/>
      <c r="I62" s="169"/>
      <c r="J62" s="169"/>
      <c r="K62" s="169"/>
      <c r="L62" s="169"/>
      <c r="M62" s="169"/>
      <c r="N62" s="169"/>
    </row>
    <row r="63" spans="5:14" ht="15">
      <c r="E63" s="169"/>
      <c r="F63" s="169"/>
      <c r="G63" s="169"/>
      <c r="H63" s="169"/>
      <c r="I63" s="169"/>
      <c r="J63" s="169"/>
      <c r="K63" s="169"/>
      <c r="L63" s="169"/>
      <c r="M63" s="169"/>
      <c r="N63" s="169"/>
    </row>
    <row r="64" spans="5:14" ht="15">
      <c r="E64" s="169"/>
      <c r="F64" s="169"/>
      <c r="G64" s="169"/>
      <c r="H64" s="169"/>
      <c r="I64" s="169"/>
      <c r="J64" s="169"/>
      <c r="K64" s="169"/>
      <c r="L64" s="169"/>
      <c r="M64" s="169"/>
      <c r="N64" s="169"/>
    </row>
    <row r="65" spans="5:14" ht="15">
      <c r="E65" s="169"/>
      <c r="F65" s="169"/>
      <c r="G65" s="169"/>
      <c r="H65" s="169"/>
      <c r="I65" s="169"/>
      <c r="J65" s="169"/>
      <c r="K65" s="169"/>
      <c r="L65" s="169"/>
      <c r="M65" s="169"/>
      <c r="N65" s="169"/>
    </row>
    <row r="66" spans="5:14" ht="15">
      <c r="E66" s="169"/>
      <c r="F66" s="169"/>
      <c r="G66" s="169"/>
      <c r="H66" s="169"/>
      <c r="I66" s="169"/>
      <c r="J66" s="169"/>
      <c r="K66" s="169"/>
      <c r="L66" s="169"/>
      <c r="M66" s="169"/>
      <c r="N66" s="169"/>
    </row>
    <row r="67" spans="5:14" ht="15">
      <c r="E67" s="169"/>
      <c r="F67" s="169"/>
      <c r="G67" s="169"/>
      <c r="H67" s="169"/>
      <c r="I67" s="169"/>
      <c r="J67" s="169"/>
      <c r="K67" s="169"/>
      <c r="L67" s="169"/>
      <c r="M67" s="169"/>
      <c r="N67" s="169"/>
    </row>
    <row r="68" spans="5:14" ht="15">
      <c r="E68" s="169"/>
      <c r="F68" s="169"/>
      <c r="G68" s="169"/>
      <c r="H68" s="169"/>
      <c r="I68" s="169"/>
      <c r="J68" s="169"/>
      <c r="K68" s="169"/>
      <c r="L68" s="169"/>
      <c r="M68" s="169"/>
      <c r="N68" s="169"/>
    </row>
    <row r="69" spans="5:14" ht="15">
      <c r="E69" s="169"/>
      <c r="F69" s="169"/>
      <c r="G69" s="169"/>
      <c r="H69" s="169"/>
      <c r="I69" s="169"/>
      <c r="J69" s="169"/>
      <c r="K69" s="169"/>
      <c r="L69" s="169"/>
      <c r="M69" s="169"/>
      <c r="N69" s="169"/>
    </row>
    <row r="70" spans="5:14" ht="15">
      <c r="E70" s="169"/>
      <c r="F70" s="169"/>
      <c r="G70" s="169"/>
      <c r="H70" s="169"/>
      <c r="I70" s="169"/>
      <c r="J70" s="169"/>
      <c r="K70" s="169"/>
      <c r="L70" s="169"/>
      <c r="M70" s="169"/>
      <c r="N70" s="169"/>
    </row>
    <row r="71" spans="5:14" ht="15">
      <c r="E71" s="169"/>
      <c r="F71" s="169"/>
      <c r="G71" s="169"/>
      <c r="H71" s="169"/>
      <c r="I71" s="169"/>
      <c r="J71" s="169"/>
      <c r="K71" s="169"/>
      <c r="L71" s="169"/>
      <c r="M71" s="169"/>
      <c r="N71" s="169"/>
    </row>
    <row r="72" spans="5:14" ht="15">
      <c r="E72" s="169"/>
      <c r="F72" s="169"/>
      <c r="G72" s="169"/>
      <c r="H72" s="169"/>
      <c r="I72" s="169"/>
      <c r="J72" s="169"/>
      <c r="K72" s="169"/>
      <c r="L72" s="169"/>
      <c r="M72" s="169"/>
      <c r="N72" s="169"/>
    </row>
    <row r="73" spans="5:14" ht="15">
      <c r="E73" s="169"/>
      <c r="F73" s="169"/>
      <c r="G73" s="169"/>
      <c r="H73" s="169"/>
      <c r="I73" s="169"/>
      <c r="J73" s="169"/>
      <c r="K73" s="169"/>
      <c r="L73" s="169"/>
      <c r="M73" s="169"/>
      <c r="N73" s="169"/>
    </row>
    <row r="74" spans="5:14" ht="15">
      <c r="E74" s="169"/>
      <c r="F74" s="169"/>
      <c r="G74" s="169"/>
      <c r="H74" s="169"/>
      <c r="I74" s="169"/>
      <c r="J74" s="169"/>
      <c r="K74" s="169"/>
      <c r="L74" s="169"/>
      <c r="M74" s="169"/>
      <c r="N74" s="169"/>
    </row>
    <row r="75" spans="5:14" ht="15">
      <c r="E75" s="169"/>
      <c r="F75" s="169"/>
      <c r="G75" s="169"/>
      <c r="H75" s="169"/>
      <c r="I75" s="169"/>
      <c r="J75" s="169"/>
      <c r="K75" s="169"/>
      <c r="L75" s="169"/>
      <c r="M75" s="169"/>
      <c r="N75" s="169"/>
    </row>
  </sheetData>
  <sheetProtection password="EF77" sheet="1" objects="1" scenarios="1"/>
  <mergeCells count="36">
    <mergeCell ref="B2:G2"/>
    <mergeCell ref="K2:N2"/>
    <mergeCell ref="D48:O48"/>
    <mergeCell ref="D49:O49"/>
    <mergeCell ref="D42:N42"/>
    <mergeCell ref="D39:O39"/>
    <mergeCell ref="D40:O40"/>
    <mergeCell ref="D43:O43"/>
    <mergeCell ref="D35:O35"/>
    <mergeCell ref="D36:O36"/>
    <mergeCell ref="D50:O50"/>
    <mergeCell ref="D44:O44"/>
    <mergeCell ref="D45:O45"/>
    <mergeCell ref="D46:O46"/>
    <mergeCell ref="D47:O47"/>
    <mergeCell ref="D37:O37"/>
    <mergeCell ref="D38:O38"/>
    <mergeCell ref="D32:N32"/>
    <mergeCell ref="D33:O33"/>
    <mergeCell ref="D34:O34"/>
    <mergeCell ref="D27:N27"/>
    <mergeCell ref="D28:N28"/>
    <mergeCell ref="D29:N29"/>
    <mergeCell ref="D30:N30"/>
    <mergeCell ref="D23:N23"/>
    <mergeCell ref="D24:N24"/>
    <mergeCell ref="D25:N25"/>
    <mergeCell ref="D26:N26"/>
    <mergeCell ref="D12:O12"/>
    <mergeCell ref="D14:O14"/>
    <mergeCell ref="D16:O16"/>
    <mergeCell ref="D18:O18"/>
    <mergeCell ref="D4:O4"/>
    <mergeCell ref="D6:O6"/>
    <mergeCell ref="D8:O8"/>
    <mergeCell ref="D10:O10"/>
  </mergeCells>
  <printOptions/>
  <pageMargins left="0.75" right="0.75" top="1" bottom="1" header="0.4921259845" footer="0.4921259845"/>
  <pageSetup orientation="landscape" paperSize="9" scale="83" r:id="rId1"/>
  <headerFooter alignWithMargins="0">
    <oddFooter>&amp;L&amp;F / &amp;A / &amp;D&amp;RSeite &amp;P von &amp;N</oddFooter>
  </headerFooter>
</worksheet>
</file>

<file path=xl/worksheets/sheet3.xml><?xml version="1.0" encoding="utf-8"?>
<worksheet xmlns="http://schemas.openxmlformats.org/spreadsheetml/2006/main" xmlns:r="http://schemas.openxmlformats.org/officeDocument/2006/relationships">
  <sheetPr codeName="Tabelle4"/>
  <dimension ref="A1:R68"/>
  <sheetViews>
    <sheetView showGridLines="0" showRowColHeaders="0" workbookViewId="0" topLeftCell="A1">
      <selection activeCell="R19" sqref="R19"/>
    </sheetView>
  </sheetViews>
  <sheetFormatPr defaultColWidth="11.421875" defaultRowHeight="15" customHeight="1"/>
  <cols>
    <col min="1" max="1" width="1.7109375" style="50" customWidth="1"/>
    <col min="2" max="2" width="25.7109375" style="50" customWidth="1"/>
    <col min="3" max="3" width="8.7109375" style="50" customWidth="1"/>
    <col min="4" max="5" width="12.7109375" style="50" customWidth="1"/>
    <col min="6" max="6" width="11.00390625" style="50" customWidth="1"/>
    <col min="7" max="7" width="3.7109375" style="50" customWidth="1"/>
    <col min="8" max="16" width="9.7109375" style="50" customWidth="1"/>
    <col min="17" max="17" width="1.7109375" style="50" customWidth="1"/>
    <col min="18" max="21" width="10.7109375" style="50" customWidth="1"/>
    <col min="22" max="16384" width="11.421875" style="50" customWidth="1"/>
  </cols>
  <sheetData>
    <row r="1" spans="1:14" s="239" customFormat="1" ht="15" customHeight="1">
      <c r="A1" s="81"/>
      <c r="B1" s="51" t="str">
        <f>IF(Info!H8&gt;2.5,"Project:",IF(Info!H8&gt;1.5,"Projekt :",IF(Info!H8&gt;0.5,"Proje :","")))</f>
        <v>Proje :</v>
      </c>
      <c r="C1" s="327" t="s">
        <v>143</v>
      </c>
      <c r="D1" s="328"/>
      <c r="E1" s="328"/>
      <c r="F1" s="328"/>
      <c r="G1" s="328"/>
      <c r="H1" s="328"/>
      <c r="I1" s="328"/>
      <c r="J1" s="328"/>
      <c r="L1" s="240" t="str">
        <f>Info!K7</f>
        <v>Copyright : M. G. Kutay , Ver 14.04</v>
      </c>
      <c r="M1" s="240"/>
      <c r="N1" s="240"/>
    </row>
    <row r="2" spans="2:14" s="239" customFormat="1" ht="15" customHeight="1">
      <c r="B2" s="241"/>
      <c r="C2" s="319"/>
      <c r="D2" s="319"/>
      <c r="E2" s="319"/>
      <c r="F2" s="319"/>
      <c r="G2" s="319"/>
      <c r="H2" s="319"/>
      <c r="I2" s="319"/>
      <c r="J2" s="319"/>
      <c r="L2" s="240"/>
      <c r="M2" s="240"/>
      <c r="N2" s="240"/>
    </row>
    <row r="3" spans="2:18" s="239" customFormat="1" ht="15" customHeight="1">
      <c r="B3" s="22" t="str">
        <f>IF(Info!H8&gt;2.5,"Table values of the production drawing",IF(Info!H8&gt;1.5,"Tabellenwerte der Herstellungszeichnung",IF(Info!H8&gt;0.5,"İmalat resminde Tablo değerleri","")))</f>
        <v>İmalat resminde Tablo değerleri</v>
      </c>
      <c r="C3" s="17"/>
      <c r="D3" s="47" t="str">
        <f>IF(Info!H8&gt;2.5,"Pinion",IF(Info!H8&gt;1.5,"Ritzel",IF(Info!H8&gt;0.5,"Pinyon","")))</f>
        <v>Pinyon</v>
      </c>
      <c r="E3" s="177" t="str">
        <f>IF(Info!H8&gt;2.5,"Wheel",IF(Info!H8&gt;1.5,"Rad",IF(Info!H8&gt;0.5,"Çark","")))</f>
        <v>Çark</v>
      </c>
      <c r="F3" s="50"/>
      <c r="G3" s="176"/>
      <c r="J3" s="319"/>
      <c r="K3" s="319"/>
      <c r="L3" s="319"/>
      <c r="M3" s="319"/>
      <c r="N3" s="319"/>
      <c r="O3" s="319"/>
      <c r="P3" s="319"/>
      <c r="Q3" s="319"/>
      <c r="R3" s="319"/>
    </row>
    <row r="4" spans="2:18" s="239" customFormat="1" ht="15" customHeight="1">
      <c r="B4" s="242" t="str">
        <f>IF(Info!H8&gt;2.5,"Number of teeth",IF(Info!H8&gt;1.5,"Zähnezahl",IF(Info!H8&gt;0.5,"Diş sayısı","")))</f>
        <v>Diş sayısı</v>
      </c>
      <c r="C4" s="243" t="s">
        <v>147</v>
      </c>
      <c r="D4" s="329">
        <v>17</v>
      </c>
      <c r="E4" s="330">
        <v>86</v>
      </c>
      <c r="G4" s="319"/>
      <c r="H4" s="319"/>
      <c r="I4" s="319"/>
      <c r="J4" s="319"/>
      <c r="K4" s="319"/>
      <c r="L4" s="319"/>
      <c r="M4" s="319"/>
      <c r="N4" s="319"/>
      <c r="O4" s="319"/>
      <c r="P4" s="319"/>
      <c r="Q4" s="319"/>
      <c r="R4" s="319"/>
    </row>
    <row r="5" spans="2:18" s="239" customFormat="1" ht="15" customHeight="1">
      <c r="B5" s="244" t="str">
        <f>IF(Info!H8&gt;2.5,"Module",IF(Info!H8&gt;1.5,"Modul",IF(Info!H8&gt;0.5,"Modül","")))</f>
        <v>Modül</v>
      </c>
      <c r="C5" s="245" t="s">
        <v>4</v>
      </c>
      <c r="D5" s="331">
        <v>6</v>
      </c>
      <c r="E5" s="332"/>
      <c r="G5" s="319"/>
      <c r="H5" s="319"/>
      <c r="I5" s="319"/>
      <c r="J5" s="319"/>
      <c r="K5" s="319"/>
      <c r="L5" s="319"/>
      <c r="M5" s="319"/>
      <c r="N5" s="319"/>
      <c r="O5" s="319"/>
      <c r="P5" s="319"/>
      <c r="Q5" s="319"/>
      <c r="R5" s="319"/>
    </row>
    <row r="6" spans="2:18" s="239" customFormat="1" ht="15" customHeight="1">
      <c r="B6" s="244" t="str">
        <f>IF(Info!H8&gt;2.5,"Angle of pressure",IF(Info!H8&gt;1.5,"Eingriffswinkel",IF(Info!H8&gt;0.5,"Kavrama açısı","")))</f>
        <v>Kavrama açısı</v>
      </c>
      <c r="C6" s="245" t="s">
        <v>67</v>
      </c>
      <c r="D6" s="404">
        <v>20</v>
      </c>
      <c r="E6" s="405"/>
      <c r="G6" s="319"/>
      <c r="H6" s="319"/>
      <c r="I6" s="319"/>
      <c r="J6" s="319"/>
      <c r="K6" s="319"/>
      <c r="L6" s="319"/>
      <c r="M6" s="319"/>
      <c r="N6" s="319"/>
      <c r="O6" s="319"/>
      <c r="P6" s="319"/>
      <c r="Q6" s="319"/>
      <c r="R6" s="319"/>
    </row>
    <row r="7" spans="2:18" s="239" customFormat="1" ht="15" customHeight="1">
      <c r="B7" s="244" t="str">
        <f>IF(Info!H8&gt;2.5,"Helix angle",IF(Info!H8&gt;1.5,"Schrägungswinkel",IF(Info!H8&gt;0.5,"Helis açısı","")))</f>
        <v>Helis açısı</v>
      </c>
      <c r="C7" s="245" t="s">
        <v>5</v>
      </c>
      <c r="D7" s="333">
        <v>0</v>
      </c>
      <c r="E7" s="334"/>
      <c r="G7" s="319"/>
      <c r="H7" s="319"/>
      <c r="I7" s="319"/>
      <c r="J7" s="319"/>
      <c r="K7" s="319"/>
      <c r="L7" s="319"/>
      <c r="M7" s="319"/>
      <c r="N7" s="319"/>
      <c r="O7" s="319"/>
      <c r="P7" s="319"/>
      <c r="Q7" s="319"/>
      <c r="R7" s="319"/>
    </row>
    <row r="8" spans="2:18" s="239" customFormat="1" ht="15" customHeight="1">
      <c r="B8" s="244" t="str">
        <f>IF(Info!H8&gt;2.5,"Direction of spiral",IF(Info!H8&gt;1.5,"Gangrichtung",IF(Info!H8&gt;0.5,"Helis yönü","")))</f>
        <v>Helis yönü</v>
      </c>
      <c r="C8" s="246" t="s">
        <v>6</v>
      </c>
      <c r="D8" s="335" t="s">
        <v>138</v>
      </c>
      <c r="E8" s="336" t="s">
        <v>139</v>
      </c>
      <c r="G8" s="319"/>
      <c r="H8" s="319"/>
      <c r="I8" s="319"/>
      <c r="J8" s="319"/>
      <c r="K8" s="319"/>
      <c r="L8" s="319"/>
      <c r="M8" s="319"/>
      <c r="N8" s="319"/>
      <c r="O8" s="319"/>
      <c r="P8" s="319"/>
      <c r="Q8" s="319"/>
      <c r="R8" s="319"/>
    </row>
    <row r="9" spans="1:18" ht="15" customHeight="1">
      <c r="A9" s="239"/>
      <c r="B9" s="244" t="str">
        <f>IF(Info!H8&gt;2.5,"Reference diameter",IF(Info!H8&gt;1.5,"Teilkreisdurchmesser",IF(Info!H8&gt;0.5,"Taksimat dairesi","")))</f>
        <v>Taksimat dairesi</v>
      </c>
      <c r="C9" s="247" t="s">
        <v>148</v>
      </c>
      <c r="D9" s="27">
        <f>D4*D46</f>
        <v>102</v>
      </c>
      <c r="E9" s="28">
        <f>E4*D46</f>
        <v>516</v>
      </c>
      <c r="G9" s="16"/>
      <c r="H9" s="16"/>
      <c r="I9" s="16"/>
      <c r="J9" s="16"/>
      <c r="K9" s="16"/>
      <c r="L9" s="16"/>
      <c r="M9" s="16"/>
      <c r="N9" s="16"/>
      <c r="O9" s="16"/>
      <c r="P9" s="16"/>
      <c r="Q9" s="16"/>
      <c r="R9" s="16"/>
    </row>
    <row r="10" spans="2:18" ht="15" customHeight="1">
      <c r="B10" s="23" t="str">
        <f>IF(Info!H8&gt;2.5,"Addendum modification factor",IF(Info!H8&gt;1.5,"Profilverschiebungsfaktor",IF(Info!H8&gt;0.5,"Profil kaydırma faktörü","")))</f>
        <v>Profil kaydırma faktörü</v>
      </c>
      <c r="C10" s="166" t="s">
        <v>149</v>
      </c>
      <c r="D10" s="52">
        <v>0</v>
      </c>
      <c r="E10" s="85">
        <f>D52-D10</f>
        <v>0</v>
      </c>
      <c r="G10" s="16"/>
      <c r="H10" s="16"/>
      <c r="I10" s="16"/>
      <c r="J10" s="16"/>
      <c r="K10" s="16"/>
      <c r="L10" s="16"/>
      <c r="M10" s="16"/>
      <c r="N10" s="16"/>
      <c r="O10" s="16"/>
      <c r="P10" s="16"/>
      <c r="Q10" s="16"/>
      <c r="R10" s="16"/>
    </row>
    <row r="11" spans="1:18" s="239" customFormat="1" ht="15" customHeight="1">
      <c r="A11" s="50"/>
      <c r="B11" s="26" t="str">
        <f>IF(Info!H8&gt;2.5,"Gearing quality",IF(Info!H8&gt;1.5,"Verzahnungsqualität",IF(Info!H8&gt;0.5,"Dişli kalitesi","")))</f>
        <v>Dişli kalitesi</v>
      </c>
      <c r="C11" s="20"/>
      <c r="D11" s="218" t="s">
        <v>3</v>
      </c>
      <c r="E11" s="337">
        <v>8</v>
      </c>
      <c r="G11" s="319"/>
      <c r="H11" s="319"/>
      <c r="I11" s="319"/>
      <c r="J11" s="319"/>
      <c r="K11" s="319"/>
      <c r="L11" s="319"/>
      <c r="M11" s="319"/>
      <c r="N11" s="319"/>
      <c r="O11" s="319"/>
      <c r="P11" s="319"/>
      <c r="Q11" s="319"/>
      <c r="R11" s="319"/>
    </row>
    <row r="12" spans="1:18" ht="15" customHeight="1">
      <c r="A12" s="239"/>
      <c r="B12" s="244" t="str">
        <f>IF(Info!H8&gt;2.5,"Number of measuring teeth",IF(Info!H8&gt;1.5,"Messzähnezahl",IF(Info!H8&gt;0.5,"Ölçülecek diş sayısı","")))</f>
        <v>Ölçülecek diş sayısı</v>
      </c>
      <c r="C12" s="248" t="s">
        <v>150</v>
      </c>
      <c r="D12" s="29">
        <f>ROUND(D55*D6/180+1,0)</f>
        <v>3</v>
      </c>
      <c r="E12" s="30">
        <f>ROUND(E55*D6/180+1,0)</f>
        <v>11</v>
      </c>
      <c r="G12" s="16"/>
      <c r="H12" s="16"/>
      <c r="I12" s="16"/>
      <c r="J12" s="16"/>
      <c r="K12" s="16"/>
      <c r="L12" s="16"/>
      <c r="M12" s="16"/>
      <c r="N12" s="16"/>
      <c r="O12" s="16"/>
      <c r="P12" s="16"/>
      <c r="Q12" s="16"/>
      <c r="R12" s="16"/>
    </row>
    <row r="13" spans="2:18" ht="15" customHeight="1">
      <c r="B13" s="23" t="str">
        <f>IF(Info!H8&gt;2.5,"Base tangent length",IF(Info!H8&gt;1.5,"Zahnweitennennmass",IF(Info!H8&gt;0.5,"Kontrol ölçü değeri","")))</f>
        <v>Kontrol ölçü değeri</v>
      </c>
      <c r="C13" s="24" t="s">
        <v>151</v>
      </c>
      <c r="D13" s="186">
        <f>D5*COS(PI()*D6/180)*((D12-0.5)*PI()+D4*D50)+2*D10*D5*SIN(PI()*D6/180)</f>
        <v>45.71053654422789</v>
      </c>
      <c r="E13" s="187">
        <f>D5*COS(PI()*D6/180)*((E12-0.5)*PI()+E4*D50)+2*E10*D5*SIN(PI()*D6/180)</f>
        <v>193.21113874924185</v>
      </c>
      <c r="G13" s="16"/>
      <c r="H13" s="16"/>
      <c r="I13" s="16"/>
      <c r="J13" s="16"/>
      <c r="K13" s="16"/>
      <c r="L13" s="16"/>
      <c r="M13" s="16"/>
      <c r="N13" s="16"/>
      <c r="O13" s="16"/>
      <c r="P13" s="16"/>
      <c r="Q13" s="16"/>
      <c r="R13" s="16"/>
    </row>
    <row r="14" spans="2:18" ht="15" customHeight="1">
      <c r="B14" s="249" t="str">
        <f>IF(Info!$H$8&gt;2.5,"Base tangent length tolerance",IF(Info!$H$8&gt;1.5,"Zahnweitenabmass",IF(Info!$H$8&gt;0.5,"Toleransları","")))</f>
        <v>Toleransları</v>
      </c>
      <c r="C14" s="201" t="s">
        <v>110</v>
      </c>
      <c r="D14" s="202">
        <f>'3.0'!I22</f>
        <v>-0.01785415979493226</v>
      </c>
      <c r="E14" s="203">
        <f>'3.0'!J22</f>
        <v>-0.03288924172750679</v>
      </c>
      <c r="G14" s="16"/>
      <c r="H14" s="16"/>
      <c r="I14" s="16"/>
      <c r="J14" s="16"/>
      <c r="K14" s="16"/>
      <c r="L14" s="16"/>
      <c r="M14" s="16"/>
      <c r="N14" s="16"/>
      <c r="O14" s="16"/>
      <c r="P14" s="16"/>
      <c r="Q14" s="16"/>
      <c r="R14" s="16"/>
    </row>
    <row r="15" spans="2:18" ht="15" customHeight="1">
      <c r="B15" s="250"/>
      <c r="C15" s="201" t="s">
        <v>111</v>
      </c>
      <c r="D15" s="202">
        <f>'3.0'!I23</f>
        <v>-0.04134647531457997</v>
      </c>
      <c r="E15" s="203">
        <f>'3.0'!J23</f>
        <v>-0.07047694655894313</v>
      </c>
      <c r="G15" s="16"/>
      <c r="H15" s="16"/>
      <c r="I15" s="16"/>
      <c r="J15" s="16"/>
      <c r="K15" s="16"/>
      <c r="L15" s="16"/>
      <c r="M15" s="16"/>
      <c r="N15" s="16"/>
      <c r="O15" s="16"/>
      <c r="P15" s="16"/>
      <c r="Q15" s="16"/>
      <c r="R15" s="16"/>
    </row>
    <row r="16" spans="2:18" ht="15" customHeight="1">
      <c r="B16" s="31" t="str">
        <f>IF(Info!H8&gt;2.5,"Upper fabrication dimension",IF(Info!H8&gt;1.5,"Oberes Werkstatmass",IF(Info!H8&gt;0.5,"Üst ölçü değeri","")))</f>
        <v>Üst ölçü değeri</v>
      </c>
      <c r="C16" s="166" t="s">
        <v>112</v>
      </c>
      <c r="D16" s="186">
        <f>D13+D57</f>
        <v>45.69268238443296</v>
      </c>
      <c r="E16" s="187">
        <f>E13+E57</f>
        <v>193.17824950751435</v>
      </c>
      <c r="G16" s="16"/>
      <c r="H16" s="16"/>
      <c r="I16" s="16"/>
      <c r="J16" s="16"/>
      <c r="K16" s="16"/>
      <c r="L16" s="16"/>
      <c r="M16" s="16"/>
      <c r="N16" s="16"/>
      <c r="O16" s="16"/>
      <c r="P16" s="16"/>
      <c r="Q16" s="16"/>
      <c r="R16" s="16"/>
    </row>
    <row r="17" spans="2:18" ht="15" customHeight="1">
      <c r="B17" s="31" t="str">
        <f>IF(Info!H8&gt;2.5,"Lower fabrication dimension",IF(Info!H8&gt;1.5,"Unteres Werkstatmass",IF(Info!H8&gt;0.5,"Alt ölçü değeri","")))</f>
        <v>Alt ölçü değeri</v>
      </c>
      <c r="C17" s="166" t="s">
        <v>113</v>
      </c>
      <c r="D17" s="27">
        <f>D13+D58</f>
        <v>45.66919006891331</v>
      </c>
      <c r="E17" s="28">
        <f>E13+E58</f>
        <v>193.1406618026829</v>
      </c>
      <c r="G17" s="16"/>
      <c r="H17" s="16"/>
      <c r="I17" s="16"/>
      <c r="J17" s="16"/>
      <c r="K17" s="16"/>
      <c r="L17" s="16"/>
      <c r="M17" s="16"/>
      <c r="N17" s="16"/>
      <c r="O17" s="16"/>
      <c r="P17" s="16"/>
      <c r="Q17" s="16"/>
      <c r="R17" s="16"/>
    </row>
    <row r="18" spans="1:18" s="239" customFormat="1" ht="15" customHeight="1">
      <c r="A18" s="50"/>
      <c r="B18" s="25" t="str">
        <f>IF(Info!H8&gt;2.5,"Center distance",IF(Info!H8&gt;1.5,"Achsenabstand",IF(Info!H8&gt;0.5,"Eksenler arası mesafe","")))</f>
        <v>Eksenler arası mesafe</v>
      </c>
      <c r="C18" s="24" t="s">
        <v>7</v>
      </c>
      <c r="D18" s="338">
        <v>309</v>
      </c>
      <c r="E18" s="339"/>
      <c r="G18" s="319"/>
      <c r="H18" s="319"/>
      <c r="I18" s="319"/>
      <c r="J18" s="319"/>
      <c r="K18" s="319"/>
      <c r="L18" s="319"/>
      <c r="M18" s="319"/>
      <c r="N18" s="319"/>
      <c r="O18" s="319"/>
      <c r="P18" s="319"/>
      <c r="Q18" s="319"/>
      <c r="R18" s="319"/>
    </row>
    <row r="19" spans="1:18" ht="15" customHeight="1">
      <c r="A19" s="239"/>
      <c r="B19" s="251" t="str">
        <f>IF(Info!H8&gt;2.5,"Center distance tolerance",IF(Info!H8&gt;1.5,"Achsenabstand.Toleranz",IF(Info!H8&gt;0.5,"Eksenler arası toleransı","")))</f>
        <v>Eksenler arası toleransı</v>
      </c>
      <c r="C19" s="252" t="s">
        <v>117</v>
      </c>
      <c r="D19" s="181">
        <f>'3.0'!I18</f>
        <v>0.0145</v>
      </c>
      <c r="E19" s="182"/>
      <c r="G19" s="16"/>
      <c r="H19" s="16"/>
      <c r="I19" s="16"/>
      <c r="J19" s="16"/>
      <c r="K19" s="16"/>
      <c r="L19" s="16"/>
      <c r="M19" s="16"/>
      <c r="N19" s="16"/>
      <c r="O19" s="16"/>
      <c r="P19" s="16"/>
      <c r="Q19" s="16"/>
      <c r="R19" s="16"/>
    </row>
    <row r="20" spans="2:18" ht="15" customHeight="1">
      <c r="B20" s="253" t="str">
        <f>IF(Info!H8&gt;2.5,"Values from the production drawing",IF(Info!H8&gt;1.5,"Werte aus der Herstellungszeichnung",IF(Info!H8&gt;0.5,"İmalat resminden alınan değerler","")))</f>
        <v>İmalat resminden alınan değerler</v>
      </c>
      <c r="G20" s="16"/>
      <c r="H20" s="16"/>
      <c r="I20" s="16"/>
      <c r="J20" s="16"/>
      <c r="K20" s="16"/>
      <c r="L20" s="16"/>
      <c r="M20" s="16"/>
      <c r="N20" s="16"/>
      <c r="O20" s="16"/>
      <c r="P20" s="16"/>
      <c r="Q20" s="16"/>
      <c r="R20" s="16"/>
    </row>
    <row r="21" spans="1:18" s="239" customFormat="1" ht="15" customHeight="1">
      <c r="A21" s="50"/>
      <c r="B21" s="183" t="str">
        <f>IF(Info!H8&gt;2.5,"Tooth width",IF(Info!H8&gt;1.5,"Zahnbreite",IF(Info!H8&gt;0.5,"Diş genişliği","")))</f>
        <v>Diş genişliği</v>
      </c>
      <c r="C21" s="184" t="s">
        <v>152</v>
      </c>
      <c r="D21" s="340">
        <v>65</v>
      </c>
      <c r="E21" s="341">
        <v>60</v>
      </c>
      <c r="F21" s="254"/>
      <c r="G21" s="319"/>
      <c r="H21" s="319"/>
      <c r="I21" s="319"/>
      <c r="J21" s="319"/>
      <c r="K21" s="319"/>
      <c r="L21" s="319"/>
      <c r="M21" s="319"/>
      <c r="N21" s="319"/>
      <c r="O21" s="319"/>
      <c r="P21" s="319"/>
      <c r="Q21" s="319"/>
      <c r="R21" s="319"/>
    </row>
    <row r="22" spans="2:18" s="239" customFormat="1" ht="15" customHeight="1">
      <c r="B22" s="255" t="str">
        <f>IF(Info!H8&gt;2.5,"Addendum diameter",IF(Info!H8&gt;1.5,"Kopfkreisdurchmesser",IF(Info!H8&gt;0.5,"Diş üstü çapı","")))</f>
        <v>Diş üstü çapı</v>
      </c>
      <c r="C22" s="256" t="s">
        <v>153</v>
      </c>
      <c r="D22" s="186">
        <f>IF(D10&gt;0,D9+2*D5*(1+D10)-2*D53,D9+2*D5*(1+D10)+2*D53)</f>
        <v>114</v>
      </c>
      <c r="E22" s="187">
        <f>IF(E10&gt;0,E9+2*D5*(1+E10)-2*D53,E9+2*D5*(1+E10)+2*D53)</f>
        <v>528</v>
      </c>
      <c r="F22" s="254"/>
      <c r="G22" s="319"/>
      <c r="H22" s="319"/>
      <c r="I22" s="319"/>
      <c r="J22" s="319"/>
      <c r="K22" s="319"/>
      <c r="L22" s="319"/>
      <c r="M22" s="319"/>
      <c r="N22" s="319"/>
      <c r="O22" s="319"/>
      <c r="P22" s="319"/>
      <c r="Q22" s="319"/>
      <c r="R22" s="319"/>
    </row>
    <row r="23" spans="2:18" s="239" customFormat="1" ht="15" customHeight="1">
      <c r="B23" s="257" t="str">
        <f>IF(Info!H8&gt;2.5,"Flank roughness",IF(Info!H8&gt;1.5,"Flankenrauigkeit",IF(Info!H8&gt;0.5,"Dişli yanak kalitesi","")))</f>
        <v>Dişli yanak kalitesi</v>
      </c>
      <c r="C23" s="258" t="s">
        <v>71</v>
      </c>
      <c r="D23" s="342">
        <v>12</v>
      </c>
      <c r="E23" s="343">
        <v>12</v>
      </c>
      <c r="P23" s="319"/>
      <c r="Q23" s="319"/>
      <c r="R23" s="319"/>
    </row>
    <row r="24" spans="2:18" s="239" customFormat="1" ht="15" customHeight="1">
      <c r="B24" s="259" t="str">
        <f>IF(Info!H8&gt;2.5,"Material",IF(Info!H8&gt;1.5,"Werkstoff",IF(Info!H8&gt;0.5,"Malzeme","")))</f>
        <v>Malzeme</v>
      </c>
      <c r="C24" s="260"/>
      <c r="D24" s="344" t="s">
        <v>140</v>
      </c>
      <c r="E24" s="345" t="s">
        <v>140</v>
      </c>
      <c r="F24" s="254"/>
      <c r="P24" s="319"/>
      <c r="Q24" s="319"/>
      <c r="R24" s="319"/>
    </row>
    <row r="25" spans="1:18" ht="15" customHeight="1">
      <c r="A25" s="239"/>
      <c r="B25" s="259" t="str">
        <f>IF(Info!H8&gt;2.5,"Tooth base strength",IF(Info!H8&gt;1.5,"Zahnfusfestigkeitswert",IF(Info!H8&gt;0.5,"Diş dibi mukavemeti","")))</f>
        <v>Diş dibi mukavemeti</v>
      </c>
      <c r="C25" s="261" t="s">
        <v>69</v>
      </c>
      <c r="D25" s="344">
        <v>310</v>
      </c>
      <c r="E25" s="345">
        <v>310</v>
      </c>
      <c r="F25" s="254"/>
      <c r="G25" s="239"/>
      <c r="H25" s="320" t="str">
        <f>IF(Info!H8&gt;2.5,"A) Foot stress calculation",IF(Info!H8&gt;1.5,"A) Zahnfussbruch-Festigkeitskontrolle",IF(Info!H8&gt;0.5,"A) Diş dibi kırılma mukavemet hesabı","")))</f>
        <v>A) Diş dibi kırılma mukavemet hesabı</v>
      </c>
      <c r="I25" s="319"/>
      <c r="J25" s="319"/>
      <c r="K25" s="319"/>
      <c r="L25" s="319"/>
      <c r="M25" s="319"/>
      <c r="N25" s="47" t="str">
        <f>D3</f>
        <v>Pinyon</v>
      </c>
      <c r="O25" s="47" t="str">
        <f>E3</f>
        <v>Çark</v>
      </c>
      <c r="P25" s="16"/>
      <c r="Q25" s="16"/>
      <c r="R25" s="16"/>
    </row>
    <row r="26" spans="2:18" ht="15" customHeight="1">
      <c r="B26" s="262" t="str">
        <f>IF(Info!H8&gt;2.5,"Tooth flanks strength",IF(Info!H8&gt;1.5,"Zahnflankenfestigkeitswert",IF(Info!H8&gt;0.5,"Diş yanak mukavemeti","")))</f>
        <v>Diş yanak mukavemeti</v>
      </c>
      <c r="C26" s="263" t="s">
        <v>70</v>
      </c>
      <c r="D26" s="344">
        <v>1100</v>
      </c>
      <c r="E26" s="345">
        <v>1100</v>
      </c>
      <c r="F26" s="254"/>
      <c r="G26" s="239"/>
      <c r="H26" s="321" t="str">
        <f>IF(Info!H8&gt;2.5,"Foot reference stress",IF(Info!H8&gt;1.5,"Fussvergleichsspannung",IF(Info!H8&gt;0.5,"Diş dibi karşılaştırma mukavemeti","")))</f>
        <v>Diş dibi karşılaştırma mukavemeti</v>
      </c>
      <c r="I26" s="322"/>
      <c r="J26" s="322"/>
      <c r="K26" s="264"/>
      <c r="L26" s="265" t="s">
        <v>129</v>
      </c>
      <c r="M26" s="264" t="s">
        <v>49</v>
      </c>
      <c r="N26" s="104">
        <f>'2.0'!E15</f>
        <v>98.9581829642873</v>
      </c>
      <c r="O26" s="97">
        <f>'2.0'!F15</f>
        <v>96.9399935427058</v>
      </c>
      <c r="P26" s="16"/>
      <c r="Q26" s="16"/>
      <c r="R26" s="16"/>
    </row>
    <row r="27" spans="2:18" ht="15" customHeight="1">
      <c r="B27" s="262" t="str">
        <f>IF(Info!H8&gt;2.5,"Young's modulus",IF(Info!H8&gt;1.5,"Elastizitätsmodul",IF(Info!H8&gt;0.5,"Elastiklik modülü","")))</f>
        <v>Elastiklik modülü</v>
      </c>
      <c r="C27" s="263" t="s">
        <v>154</v>
      </c>
      <c r="D27" s="344">
        <v>210000</v>
      </c>
      <c r="E27" s="345">
        <v>210000</v>
      </c>
      <c r="F27" s="254"/>
      <c r="G27" s="239"/>
      <c r="H27" s="259" t="str">
        <f>IF(Info!H8&gt;2.5,"Strength depending on shape root of teeth ",IF(Info!H8&gt;1.5,"Gestaltfestigkeit am Zahnfuss",IF(Info!H8&gt;0.5,"Diş dibi form mukavemeti","")))</f>
        <v>Diş dibi form mukavemeti</v>
      </c>
      <c r="I27" s="260"/>
      <c r="J27" s="260"/>
      <c r="K27" s="260"/>
      <c r="L27" s="129" t="s">
        <v>99</v>
      </c>
      <c r="M27" s="143" t="s">
        <v>49</v>
      </c>
      <c r="N27" s="192">
        <f>'2.0'!E21</f>
        <v>644.3598</v>
      </c>
      <c r="O27" s="193">
        <f>'2.0'!F21</f>
        <v>644.3598</v>
      </c>
      <c r="P27" s="16"/>
      <c r="Q27" s="16"/>
      <c r="R27" s="16"/>
    </row>
    <row r="28" spans="2:18" ht="15" customHeight="1">
      <c r="B28" s="249" t="str">
        <f>IF(Info!H8&gt;2.5,"Poisson's modulus",IF(Info!H8&gt;1.5,"Poissonzahl",IF(Info!H8&gt;0.5,"Poisson sayısı","")))</f>
        <v>Poisson sayısı</v>
      </c>
      <c r="C28" s="124" t="s">
        <v>68</v>
      </c>
      <c r="D28" s="344">
        <v>0.3</v>
      </c>
      <c r="E28" s="346">
        <v>0.3</v>
      </c>
      <c r="F28" s="239"/>
      <c r="G28" s="239"/>
      <c r="H28" s="266" t="str">
        <f>IF(Info!H8&gt;2.5,"Available safety factors",IF(Info!H8&gt;1.5,"Vorh. Sicherheitsfaktoren",IF(Info!H8&gt;0.5,"Hesapsal Emniyet faktörü","")))</f>
        <v>Hesapsal Emniyet faktörü</v>
      </c>
      <c r="I28" s="323"/>
      <c r="J28" s="323"/>
      <c r="K28" s="323"/>
      <c r="L28" s="267" t="s">
        <v>142</v>
      </c>
      <c r="M28" s="324"/>
      <c r="N28" s="194">
        <f>N27/N26</f>
        <v>6.511435241616561</v>
      </c>
      <c r="O28" s="195">
        <f>O27/O26</f>
        <v>6.646996522814236</v>
      </c>
      <c r="P28" s="16"/>
      <c r="Q28" s="16"/>
      <c r="R28" s="16"/>
    </row>
    <row r="29" spans="2:18" ht="15" customHeight="1">
      <c r="B29" s="268" t="str">
        <f>IF(Info!H8&gt;2.5,"Hardness",IF(Info!H8&gt;1.5,"Härte",IF(Info!H8&gt;0.5,"Sertlik","")))</f>
        <v>Sertlik</v>
      </c>
      <c r="C29" s="228" t="s">
        <v>96</v>
      </c>
      <c r="D29" s="347">
        <v>525</v>
      </c>
      <c r="E29" s="348">
        <v>525</v>
      </c>
      <c r="F29" s="239"/>
      <c r="G29" s="239"/>
      <c r="H29" s="319"/>
      <c r="I29" s="239"/>
      <c r="J29" s="319"/>
      <c r="K29" s="319"/>
      <c r="L29" s="319"/>
      <c r="M29" s="319"/>
      <c r="N29" s="200" t="str">
        <f>IF(Info!$H$8&gt;2.5,B43,IF(Info!$H$8&gt;1.5,B42,B41))</f>
        <v>  Yeterli</v>
      </c>
      <c r="O29" s="200" t="str">
        <f>IF(Info!$H$8&gt;2.5,D43,IF(Info!$H$8&gt;1.5,D42,D41))</f>
        <v>  Yeterli</v>
      </c>
      <c r="P29" s="16"/>
      <c r="Q29" s="16"/>
      <c r="R29" s="16"/>
    </row>
    <row r="30" spans="1:18" s="239" customFormat="1" ht="15" customHeight="1">
      <c r="A30" s="50"/>
      <c r="B30" s="253" t="str">
        <f>IF(Info!H8&gt;2.5,"Values from the calculatıon",IF(Info!H8&gt;1.5,"Werte aus der Anforderungen",IF(Info!H8&gt;0.5,"Şartname değerleri","")))</f>
        <v>Şartname değerleri</v>
      </c>
      <c r="C30" s="50"/>
      <c r="D30" s="50"/>
      <c r="E30" s="50"/>
      <c r="F30" s="50"/>
      <c r="G30" s="16"/>
      <c r="H30" s="180" t="str">
        <f>IF(Info!H8&gt;2.5,"B) Pressure of flanks ",IF(Info!H8&gt;1.5,"B) Flankenpressung an den Flanken",IF(Info!H8&gt;0.5,"B) Diş yanağı form mukavemet hesabı","")))</f>
        <v>B) Diş yanağı form mukavemet hesabı</v>
      </c>
      <c r="J30" s="319"/>
      <c r="K30" s="319"/>
      <c r="L30" s="319"/>
      <c r="M30" s="319"/>
      <c r="N30" s="319"/>
      <c r="O30" s="319"/>
      <c r="P30" s="319"/>
      <c r="Q30" s="319"/>
      <c r="R30" s="319"/>
    </row>
    <row r="31" spans="1:18" ht="15" customHeight="1">
      <c r="A31" s="239"/>
      <c r="B31" s="269" t="str">
        <f>IF(Info!H8&gt;2.5,"Required safety factor",IF(Info!H8&gt;1.5,"Erf. Sicherheitsfaktor",IF(Info!H8&gt;0.5,"Gerekli Emniyet faktörü","")))</f>
        <v>Gerekli Emniyet faktörü</v>
      </c>
      <c r="C31" s="270" t="s">
        <v>132</v>
      </c>
      <c r="D31" s="408">
        <v>1.4</v>
      </c>
      <c r="E31" s="409"/>
      <c r="F31"/>
      <c r="G31" s="319"/>
      <c r="H31" s="271" t="str">
        <f>IF(Info!H8&gt;2.5,"Available flank pressure",IF(Info!H8&gt;1.5,"Vorh. Flankenpressung",IF(Info!H8&gt;0.5,"İşletmede Hertz basıncı","")))</f>
        <v>İşletmede Hertz basıncı</v>
      </c>
      <c r="I31" s="264"/>
      <c r="J31" s="264"/>
      <c r="K31" s="264"/>
      <c r="L31" s="272" t="s">
        <v>131</v>
      </c>
      <c r="M31" s="264" t="s">
        <v>49</v>
      </c>
      <c r="N31" s="406">
        <f>'2.0'!K17</f>
        <v>580.5229217326648</v>
      </c>
      <c r="O31" s="407"/>
      <c r="P31" s="16"/>
      <c r="Q31" s="16"/>
      <c r="R31" s="16"/>
    </row>
    <row r="32" spans="2:18" ht="15" customHeight="1">
      <c r="B32" s="262"/>
      <c r="C32" s="179" t="s">
        <v>133</v>
      </c>
      <c r="D32" s="410">
        <v>0.8</v>
      </c>
      <c r="E32" s="411"/>
      <c r="F32"/>
      <c r="G32" s="239"/>
      <c r="H32" s="257" t="str">
        <f>IF(Info!H8&gt;2.5,"Strength depending on shape on the flanks",IF(Info!H8&gt;1.5,"Gestaltfestigkeit am Zahnflanken",IF(Info!H8&gt;0.5,"Diş yanağı form mukavemeti","")))</f>
        <v>Diş yanağı form mukavemeti</v>
      </c>
      <c r="I32" s="260"/>
      <c r="J32" s="260"/>
      <c r="K32" s="260"/>
      <c r="L32" s="273" t="s">
        <v>125</v>
      </c>
      <c r="M32" s="260" t="s">
        <v>49</v>
      </c>
      <c r="N32" s="197">
        <f>'2.0'!K23</f>
        <v>976.805423253</v>
      </c>
      <c r="O32" s="197">
        <f>'2.0'!L23</f>
        <v>976.805423253</v>
      </c>
      <c r="P32" s="16"/>
      <c r="Q32" s="16"/>
      <c r="R32" s="16"/>
    </row>
    <row r="33" spans="2:18" ht="15" customHeight="1">
      <c r="B33" s="262" t="str">
        <f>IF(Info!H8&gt;2.5,"Torque of pinion shaft",IF(Info!H8&gt;1.5,"Drehmoment der Ritzelwelle",IF(Info!H8&gt;0.5,"Pinyon milindeki moment","")))</f>
        <v>Pinyon milindeki moment</v>
      </c>
      <c r="C33" s="124" t="s">
        <v>95</v>
      </c>
      <c r="D33" s="189">
        <v>139.1</v>
      </c>
      <c r="E33" s="188" t="s">
        <v>141</v>
      </c>
      <c r="F33" s="254"/>
      <c r="G33" s="239"/>
      <c r="H33" s="266" t="str">
        <f>H28</f>
        <v>Hesapsal Emniyet faktörü</v>
      </c>
      <c r="I33" s="274"/>
      <c r="J33" s="274"/>
      <c r="K33" s="274"/>
      <c r="L33" s="275" t="s">
        <v>128</v>
      </c>
      <c r="M33" s="144" t="s">
        <v>93</v>
      </c>
      <c r="N33" s="198">
        <f>'2.0'!K31</f>
        <v>1.682630240228182</v>
      </c>
      <c r="O33" s="199">
        <f>'2.0'!L31</f>
        <v>1.682630240228182</v>
      </c>
      <c r="P33" s="16"/>
      <c r="Q33" s="16"/>
      <c r="R33" s="16"/>
    </row>
    <row r="34" spans="2:18" ht="15" customHeight="1">
      <c r="B34" s="262" t="str">
        <f>IF(Info!H8&gt;2.5,"Tangential force",IF(Info!H8&gt;1.5,"Tangentialkraft",IF(Info!H8&gt;0.5,"Teğet Kuvvet","")))</f>
        <v>Teğet Kuvvet</v>
      </c>
      <c r="C34" s="124" t="s">
        <v>51</v>
      </c>
      <c r="D34" s="190">
        <f>2*D33/D9*10^3</f>
        <v>2727.450980392157</v>
      </c>
      <c r="E34" s="191">
        <f>D34</f>
        <v>2727.450980392157</v>
      </c>
      <c r="G34" s="16"/>
      <c r="H34" s="16"/>
      <c r="I34" s="16"/>
      <c r="J34" s="16"/>
      <c r="K34" s="16"/>
      <c r="L34" s="16"/>
      <c r="M34" s="16"/>
      <c r="N34" s="200" t="str">
        <f>IF(Info!$H$8&gt;2.5,H43,IF(Info!$H$8&gt;1.5,H42,H41))</f>
        <v>  Yeterli</v>
      </c>
      <c r="O34" s="200" t="str">
        <f>IF(Info!$H$8&gt;2.5,I43,IF(Info!$H$8&gt;1.5,I42,I41))</f>
        <v>  Yeterli</v>
      </c>
      <c r="P34" s="16"/>
      <c r="Q34" s="16"/>
      <c r="R34" s="16"/>
    </row>
    <row r="35" spans="1:18" s="239" customFormat="1" ht="15" customHeight="1">
      <c r="A35" s="50"/>
      <c r="B35" s="262" t="str">
        <f>IF(Info!$H$8&gt;2.5,"Field of use",IF(Info!$H$8&gt;1.5,"Einsatzort",IF(Info!$H$8&gt;0.5,"Kullanıldığı yer","")))</f>
        <v>Kullanıldığı yer</v>
      </c>
      <c r="C35" s="276"/>
      <c r="D35" s="412" t="s">
        <v>144</v>
      </c>
      <c r="E35" s="413"/>
      <c r="P35" s="319"/>
      <c r="Q35" s="319"/>
      <c r="R35" s="319"/>
    </row>
    <row r="36" spans="2:18" s="239" customFormat="1" ht="15" customHeight="1">
      <c r="B36" s="277" t="str">
        <f>IF(Info!H8&gt;2.5,"Load cycle number",IF(Info!H8&gt;1.5,"Lastspielzahl",IF(Info!H8&gt;0.5,"Yükleme sayısı","")))</f>
        <v>Yükleme sayısı</v>
      </c>
      <c r="C36" s="278" t="s">
        <v>66</v>
      </c>
      <c r="D36" s="349">
        <v>3000000</v>
      </c>
      <c r="E36" s="350"/>
      <c r="F36" s="254"/>
      <c r="G36" s="325" t="str">
        <f>IF(Info!H8&gt;2.5,"Remarks :",IF(Info!H8&gt;1.5,"Bemerkung :","Düşünceler :"))</f>
        <v>Düşünceler :</v>
      </c>
      <c r="H36" s="403"/>
      <c r="I36" s="403"/>
      <c r="J36" s="403"/>
      <c r="K36" s="403"/>
      <c r="L36" s="403"/>
      <c r="M36" s="403"/>
      <c r="N36" s="403"/>
      <c r="O36" s="403"/>
      <c r="P36" s="319"/>
      <c r="Q36" s="319"/>
      <c r="R36" s="319"/>
    </row>
    <row r="37" spans="2:18" s="239" customFormat="1" ht="15.75">
      <c r="B37" s="279" t="str">
        <f>IF(Info!H8&gt;2.5,"Driving rpm ",IF(Info!H8&gt;1.5,"Drehzahl   ",IF(Info!H8&gt;0.5,"Devir sayısı ","")))</f>
        <v>Devir sayısı </v>
      </c>
      <c r="C37" s="280" t="s">
        <v>94</v>
      </c>
      <c r="D37" s="229">
        <v>24.3</v>
      </c>
      <c r="E37" s="230">
        <f>D37/(E4/D4)</f>
        <v>4.803488372093024</v>
      </c>
      <c r="F37" s="254"/>
      <c r="H37" s="403"/>
      <c r="I37" s="403"/>
      <c r="J37" s="403"/>
      <c r="K37" s="403"/>
      <c r="L37" s="403"/>
      <c r="M37" s="403"/>
      <c r="N37" s="403"/>
      <c r="O37" s="403"/>
      <c r="P37" s="319"/>
      <c r="Q37" s="319"/>
      <c r="R37" s="319"/>
    </row>
    <row r="38" spans="2:18" s="239" customFormat="1" ht="15" customHeight="1" hidden="1">
      <c r="B38" s="319"/>
      <c r="C38" s="319"/>
      <c r="D38" s="319"/>
      <c r="E38" s="319"/>
      <c r="P38" s="319"/>
      <c r="Q38" s="319"/>
      <c r="R38" s="319"/>
    </row>
    <row r="39" spans="2:18" s="239" customFormat="1" ht="15" customHeight="1" hidden="1">
      <c r="B39" s="319"/>
      <c r="C39" s="319"/>
      <c r="D39" s="319"/>
      <c r="E39" s="319"/>
      <c r="F39" s="319"/>
      <c r="G39" s="319"/>
      <c r="H39" s="319"/>
      <c r="I39" s="319"/>
      <c r="J39" s="319"/>
      <c r="K39" s="319"/>
      <c r="L39" s="319"/>
      <c r="M39" s="319"/>
      <c r="N39" s="319"/>
      <c r="O39" s="319"/>
      <c r="P39" s="319"/>
      <c r="Q39" s="319"/>
      <c r="R39" s="319"/>
    </row>
    <row r="40" spans="2:5" s="239" customFormat="1" ht="15" customHeight="1" hidden="1">
      <c r="B40" s="319"/>
      <c r="C40" s="319"/>
      <c r="D40" s="319"/>
      <c r="E40" s="319"/>
    </row>
    <row r="41" spans="1:9" s="284" customFormat="1" ht="15" customHeight="1" hidden="1">
      <c r="A41" s="281" t="s">
        <v>72</v>
      </c>
      <c r="B41" s="196" t="str">
        <f>IF(N28&lt;D31,"  Yetersiz! ","  Yeterli")</f>
        <v>  Yeterli</v>
      </c>
      <c r="C41" s="282"/>
      <c r="D41" s="196" t="str">
        <f>IF(O28&lt;D31,"  Yetersiz! ","  Yeterli")</f>
        <v>  Yeterli</v>
      </c>
      <c r="E41" s="283"/>
      <c r="H41" s="196" t="str">
        <f>IF(N33&lt;D32,"  Yetersiz! ","  Yeterli")</f>
        <v>  Yeterli</v>
      </c>
      <c r="I41" s="196" t="str">
        <f>IF(O33&lt;D32,"  Yetersiz! ","  Yeterli")</f>
        <v>  Yeterli</v>
      </c>
    </row>
    <row r="42" spans="1:9" s="284" customFormat="1" ht="15" customHeight="1" hidden="1">
      <c r="A42" s="285" t="s">
        <v>73</v>
      </c>
      <c r="B42" s="196" t="str">
        <f>IF(N28&lt;D31,"  Nicht zulässig! ","  zulässig")</f>
        <v>  zulässig</v>
      </c>
      <c r="C42" s="282"/>
      <c r="D42" s="196" t="str">
        <f>IF(O28&lt;D31,"  Nicht zulässig! ","  zulässig")</f>
        <v>  zulässig</v>
      </c>
      <c r="E42" s="283"/>
      <c r="H42" s="196" t="str">
        <f>IF(N33&lt;D32,"  Nicht zulässig! ","  zulässig")</f>
        <v>  zulässig</v>
      </c>
      <c r="I42" s="196" t="str">
        <f>IF(O33&lt;D32,"  Nicht zulässig! ","  zulässig")</f>
        <v>  zulässig</v>
      </c>
    </row>
    <row r="43" spans="1:9" s="284" customFormat="1" ht="15" customHeight="1" hidden="1">
      <c r="A43" s="285" t="s">
        <v>74</v>
      </c>
      <c r="B43" s="196" t="str">
        <f>IF(N28&lt;D31,"  Inadmissible! ","  Permissible")</f>
        <v>  Permissible</v>
      </c>
      <c r="C43" s="282"/>
      <c r="D43" s="196" t="str">
        <f>IF(O28&lt;D31,"  Inadmissible! ","  Permissible")</f>
        <v>  Permissible</v>
      </c>
      <c r="E43" s="283"/>
      <c r="H43" s="196" t="str">
        <f>IF(N33&lt;D32,"  Inadmissible! ","  Permissible")</f>
        <v>  Permissible</v>
      </c>
      <c r="I43" s="196" t="str">
        <f>IF(O33&lt;D32,"  Inadmissible! ","  Permissible")</f>
        <v>  Permissible</v>
      </c>
    </row>
    <row r="44" spans="2:5" s="284" customFormat="1" ht="15" customHeight="1" hidden="1">
      <c r="B44" s="282"/>
      <c r="C44" s="282"/>
      <c r="D44" s="282"/>
      <c r="E44" s="282"/>
    </row>
    <row r="45" spans="1:5" ht="15" customHeight="1" hidden="1">
      <c r="A45" s="284"/>
      <c r="B45" s="224"/>
      <c r="C45" s="225"/>
      <c r="D45" s="326"/>
      <c r="E45" s="326"/>
    </row>
    <row r="46" spans="2:5" ht="15" customHeight="1" hidden="1">
      <c r="B46" s="220" t="str">
        <f>IF(Info!H8&gt;2.5,"Forehead module",IF(Info!H8&gt;1.5,"Stirnmodul",IF(Info!H8&gt;0.5,"Alın modülü","")))</f>
        <v>Alın modülü</v>
      </c>
      <c r="C46" s="221" t="s">
        <v>155</v>
      </c>
      <c r="D46" s="222">
        <f>D5/COS(PI()*D7/180)</f>
        <v>6</v>
      </c>
      <c r="E46" s="223"/>
    </row>
    <row r="47" spans="2:5" ht="15" customHeight="1" hidden="1">
      <c r="B47" s="185" t="str">
        <f>IF(Info!H8&gt;2.5,"Forehead angle of pressure",IF(Info!H8&gt;1.5,"Stirneingriffswinkel",IF(Info!H8&gt;0.5,"Alın kavrama açısı","")))</f>
        <v>Alın kavrama açısı</v>
      </c>
      <c r="C47" s="208" t="s">
        <v>116</v>
      </c>
      <c r="D47" s="212">
        <f>ATAN(TAN(PI()*D6/180)/COS(PI()*D7/180))*180/PI()</f>
        <v>20</v>
      </c>
      <c r="E47" s="204"/>
    </row>
    <row r="48" spans="2:5" ht="15" customHeight="1" hidden="1">
      <c r="B48" s="185" t="str">
        <f>IF(Info!H8&gt;2.5,"Zero center distance",IF(Info!H8&gt;1.5,"Null-Achsenabstand",IF(Info!H8&gt;0.5,"Kaydırmasız eksenler arası","")))</f>
        <v>Kaydırmasız eksenler arası</v>
      </c>
      <c r="C48" s="208" t="s">
        <v>156</v>
      </c>
      <c r="D48" s="211">
        <f>D46*(D4+E4)/2</f>
        <v>309</v>
      </c>
      <c r="E48" s="204"/>
    </row>
    <row r="49" spans="2:5" ht="15" customHeight="1" hidden="1">
      <c r="B49" s="185" t="str">
        <f>IF(Info!H8&gt;2.5,"Operating angle of pressure",IF(Info!H8&gt;1.5,"Betriebseingriffswinkel",IF(Info!H8&gt;0.5,"İşletmede kavrama açısı","")))</f>
        <v>İşletmede kavrama açısı</v>
      </c>
      <c r="C49" s="208" t="s">
        <v>115</v>
      </c>
      <c r="D49" s="212">
        <f>ACOS(D48*COS(PI()*D47/180)/D18)*180/PI()</f>
        <v>20.000000000000014</v>
      </c>
      <c r="E49" s="204"/>
    </row>
    <row r="50" spans="2:5" ht="15" customHeight="1" hidden="1">
      <c r="B50" s="167" t="str">
        <f>IF(Info!H8&gt;2.5,"Evolvent function",IF(Info!H8&gt;1.5,"Evolventenfunkt.at",IF(Info!H8&gt;0.5,"Evolvent fonksiyonu","")))</f>
        <v>Evolvent fonksiyonu</v>
      </c>
      <c r="C50" s="209" t="s">
        <v>157</v>
      </c>
      <c r="D50" s="213">
        <f>TAN(PI()*D47/180)-D47*PI()/180</f>
        <v>0.014904383867336446</v>
      </c>
      <c r="E50" s="205"/>
    </row>
    <row r="51" spans="2:5" ht="15" customHeight="1" hidden="1">
      <c r="B51" s="167" t="str">
        <f>IF(Info!H8&gt;2.5,"Evolvent function",IF(Info!H8&gt;1.5,"Evolventenfunkt.at",IF(Info!H8&gt;0.5,"Evolvent fonksiyonu","")))</f>
        <v>Evolvent fonksiyonu</v>
      </c>
      <c r="C51" s="208" t="s">
        <v>158</v>
      </c>
      <c r="D51" s="213">
        <f>TAN(PI()*D49/180)-D49*PI()/180</f>
        <v>0.014904383867336446</v>
      </c>
      <c r="E51" s="205"/>
    </row>
    <row r="52" spans="2:5" ht="15" customHeight="1" hidden="1">
      <c r="B52" s="167" t="str">
        <f>IF(Info!H8&gt;2.5,"Section shift sum",IF(Info!H8&gt;1.5,"Profilverschiebungssumme",IF(Info!H8&gt;0.5,"Toplam profil kaydırması","")))</f>
        <v>Toplam profil kaydırması</v>
      </c>
      <c r="C52" s="209" t="s">
        <v>159</v>
      </c>
      <c r="D52" s="213">
        <f>(D4+E4)*(D51-D50)/(2*TAN(PI()*D6/180))</f>
        <v>0</v>
      </c>
      <c r="E52" s="205"/>
    </row>
    <row r="53" spans="2:5" ht="15" customHeight="1" hidden="1">
      <c r="B53" s="167" t="str">
        <f>IF(Info!H8&gt;2.5,"Head cut",IF(Info!H8&gt;1.5,"Kopfkürzung",IF(Info!H8&gt;0.5,"Dış çap düzeltmesi","")))</f>
        <v>Dış çap düzeltmesi</v>
      </c>
      <c r="C53" s="208" t="s">
        <v>114</v>
      </c>
      <c r="D53" s="214">
        <f>D48+D52*D5-D18</f>
        <v>0</v>
      </c>
      <c r="E53" s="205"/>
    </row>
    <row r="54" spans="2:5" ht="15" customHeight="1" hidden="1">
      <c r="B54" s="167" t="str">
        <f>IF(Info!H8&gt;2.5,"Basis diagonal angles",IF(Info!H8&gt;1.5,"Grundschrägungswink",IF(Info!H8&gt;0.5,"Temel helis açısı","")))</f>
        <v>Temel helis açısı</v>
      </c>
      <c r="C54" s="208" t="s">
        <v>160</v>
      </c>
      <c r="D54" s="212">
        <f>180*ASIN(SIN(PI()*D7/180)*COS(PI()*D6/180))/PI()</f>
        <v>0</v>
      </c>
      <c r="E54" s="205"/>
    </row>
    <row r="55" spans="2:5" ht="15" customHeight="1" hidden="1">
      <c r="B55" s="185" t="str">
        <f>IF(Info!H8&gt;2.5,"Arrangement number of teeth",IF(Info!H8&gt;1.5,"Vergleichszähnezahl",IF(Info!H8&gt;0.5,"Eşdeğer diş sayısı","")))</f>
        <v>Eşdeğer diş sayısı</v>
      </c>
      <c r="C55" s="209" t="s">
        <v>161</v>
      </c>
      <c r="D55" s="215">
        <f>D4/(COS(PI()*D54/180))^2/COS(PI()*D7/180)</f>
        <v>17</v>
      </c>
      <c r="E55" s="206">
        <f>E4/(COS(PI()*D54/180))^2/COS(PI()*D7/180)</f>
        <v>86</v>
      </c>
    </row>
    <row r="56" spans="2:5" ht="15" customHeight="1" hidden="1">
      <c r="B56" s="167" t="str">
        <f>IF(Info!H8&gt;2.5,"Section shift",IF(Info!H8&gt;1.5,"Profilverschi.-Vorschlag",IF(Info!H8&gt;0.5,"Profil kaydırması, teklif","")))</f>
        <v>Profil kaydırması, teklif</v>
      </c>
      <c r="C56" s="210"/>
      <c r="D56" s="216">
        <f>IF(($D$52/2+(0.5-$D$52/2)*LOG10($E$4/$D$4)/(LOG10($D$55*$E$55/100)))*10-INT(($D$52/2+(0.5-$D$52/2)*LOG10($E$4/$D$4)/(LOG10($D$55*$E$55/100)))*10)&gt;0.5,FLOOR(($D$52/2+(0.5-$D$52/2)*LOG10($E$4/$D$4)/(LOG10($D$55*$E$55/100))),0.05),ROUNDDOWN(($D$52/2+(0.5-$D$52/2)*LOG10($E$4/$D$4)/(LOG10($D$55*$E$55/100))),1))</f>
        <v>0.3</v>
      </c>
      <c r="E56" s="207">
        <f>D52-D56</f>
        <v>-0.3</v>
      </c>
    </row>
    <row r="57" spans="2:5" ht="15" customHeight="1" hidden="1">
      <c r="B57" s="185" t="str">
        <f>IF(Info!H8&gt;2.5,"Pitch limit",IF(Info!H8&gt;1.5,"Zahnweitenabmass",IF(Info!H8&gt;0.5,"Toleransları","")))</f>
        <v>Toleransları</v>
      </c>
      <c r="C57" s="209" t="s">
        <v>110</v>
      </c>
      <c r="D57" s="202">
        <f>'3.0'!I22</f>
        <v>-0.01785415979493226</v>
      </c>
      <c r="E57" s="203">
        <f>'3.0'!J22</f>
        <v>-0.03288924172750679</v>
      </c>
    </row>
    <row r="58" spans="2:5" ht="15" customHeight="1" hidden="1">
      <c r="B58" s="105"/>
      <c r="C58" s="209" t="s">
        <v>111</v>
      </c>
      <c r="D58" s="202">
        <f>'3.0'!I23</f>
        <v>-0.04134647531457997</v>
      </c>
      <c r="E58" s="203">
        <f>'3.0'!J23</f>
        <v>-0.07047694655894313</v>
      </c>
    </row>
    <row r="59" spans="2:5" ht="15" customHeight="1" hidden="1">
      <c r="B59" s="185" t="str">
        <f>IF(Info!H8&gt;2.5,"Base circle diameter",IF(Info!H8&gt;1.5,"Grundkreisdurchm.",IF(Info!H8&gt;0.5,"Temel daire çapı","")))</f>
        <v>Temel daire çapı</v>
      </c>
      <c r="C59" s="208" t="s">
        <v>162</v>
      </c>
      <c r="D59" s="211">
        <f>D9*COS(PI()*D47/180)</f>
        <v>95.84864732016266</v>
      </c>
      <c r="E59" s="187">
        <f>E9*COS(PI()*D47/180)</f>
        <v>484.88139232552874</v>
      </c>
    </row>
    <row r="60" spans="2:5" ht="15" customHeight="1" hidden="1">
      <c r="B60" s="167" t="str">
        <f>IF(Info!H8&gt;2.5,"Section covering",IF(Info!H8&gt;1.5,"Profilüberdeckung",IF(Info!H8&gt;0.5,"Profil kavrama oranı","")))</f>
        <v>Profil kavrama oranı</v>
      </c>
      <c r="C60" s="132" t="s">
        <v>163</v>
      </c>
      <c r="D60" s="215">
        <f>((0.5*((D22^2-D59^2)^(0.5)+(E22^2-E59^2)^(0.5))-D18*SIN(PI()*D49/180))/(PI()*D46*COS(PI()*D47/180)))/(COS(D54*PI()/180))^2</f>
        <v>1.6748431032759579</v>
      </c>
      <c r="E60" s="205"/>
    </row>
    <row r="61" spans="2:5" ht="15" customHeight="1" hidden="1">
      <c r="B61" s="26" t="str">
        <f>IF(Info!H8&gt;2.5,"Jump covering",IF(Info!H8&gt;1.5,"Sprungüberdeckung",IF(Info!H8&gt;0.5,"Helis kavrama oranı","")))</f>
        <v>Helis kavrama oranı</v>
      </c>
      <c r="C61" s="286" t="s">
        <v>164</v>
      </c>
      <c r="D61" s="226">
        <f>E21*SIN(PI()*D7/180)/PI()/D5</f>
        <v>0</v>
      </c>
      <c r="E61" s="227"/>
    </row>
    <row r="62" spans="2:5" ht="15" customHeight="1" hidden="1">
      <c r="B62" s="287"/>
      <c r="C62" s="287"/>
      <c r="D62" s="287"/>
      <c r="E62" s="287"/>
    </row>
    <row r="63" spans="2:5" ht="15" customHeight="1" hidden="1">
      <c r="B63" s="287"/>
      <c r="C63" s="287"/>
      <c r="D63" s="287"/>
      <c r="E63" s="287"/>
    </row>
    <row r="64" spans="2:5" ht="15" customHeight="1" hidden="1">
      <c r="B64" s="287"/>
      <c r="C64" s="287"/>
      <c r="D64" s="287"/>
      <c r="E64" s="287"/>
    </row>
    <row r="65" spans="2:5" ht="15" customHeight="1" hidden="1">
      <c r="B65" s="287"/>
      <c r="C65" s="287"/>
      <c r="D65" s="287"/>
      <c r="E65" s="287"/>
    </row>
    <row r="66" spans="2:5" ht="15" customHeight="1" hidden="1">
      <c r="B66" s="287"/>
      <c r="C66" s="287"/>
      <c r="D66" s="287"/>
      <c r="E66" s="287"/>
    </row>
    <row r="67" spans="2:5" ht="15" customHeight="1" hidden="1">
      <c r="B67" s="287"/>
      <c r="C67" s="287"/>
      <c r="D67" s="287"/>
      <c r="E67" s="287"/>
    </row>
    <row r="68" spans="2:5" ht="15" customHeight="1">
      <c r="B68" s="16"/>
      <c r="C68" s="16"/>
      <c r="D68" s="16"/>
      <c r="E68" s="16"/>
    </row>
  </sheetData>
  <sheetProtection password="EF77" sheet="1" objects="1" scenarios="1"/>
  <mergeCells count="6">
    <mergeCell ref="H36:O37"/>
    <mergeCell ref="D6:E6"/>
    <mergeCell ref="N31:O31"/>
    <mergeCell ref="D31:E31"/>
    <mergeCell ref="D32:E32"/>
    <mergeCell ref="D35:E35"/>
  </mergeCell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5" r:id="rId3"/>
  <headerFooter alignWithMargins="0">
    <oddFooter>&amp;L&amp;F / &amp;A / &amp;D&amp;RSeite &amp;P von &amp;N</oddFooter>
  </headerFooter>
  <legacyDrawing r:id="rId2"/>
  <oleObjects>
    <oleObject progId="AutoCAD.Drawing.15" shapeId="1003771" r:id="rId1"/>
  </oleObjects>
</worksheet>
</file>

<file path=xl/worksheets/sheet4.xml><?xml version="1.0" encoding="utf-8"?>
<worksheet xmlns="http://schemas.openxmlformats.org/spreadsheetml/2006/main" xmlns:r="http://schemas.openxmlformats.org/officeDocument/2006/relationships">
  <sheetPr codeName="Tabelle5"/>
  <dimension ref="A1:AU44"/>
  <sheetViews>
    <sheetView showGridLines="0" showRowColHeaders="0" workbookViewId="0" topLeftCell="A1">
      <selection activeCell="N19" sqref="N19"/>
    </sheetView>
  </sheetViews>
  <sheetFormatPr defaultColWidth="11.421875" defaultRowHeight="15" customHeight="1"/>
  <cols>
    <col min="1" max="1" width="2.7109375" style="82" customWidth="1"/>
    <col min="2" max="2" width="30.7109375" style="82" customWidth="1"/>
    <col min="3" max="4" width="7.00390625" style="82" customWidth="1"/>
    <col min="5" max="6" width="8.7109375" style="82" customWidth="1"/>
    <col min="7" max="7" width="13.57421875" style="82" customWidth="1"/>
    <col min="8" max="8" width="30.7109375" style="82" customWidth="1"/>
    <col min="9" max="10" width="7.00390625" style="82" customWidth="1"/>
    <col min="11" max="12" width="8.7109375" style="82" customWidth="1"/>
    <col min="13" max="13" width="13.00390625" style="82" bestFit="1" customWidth="1"/>
    <col min="14" max="16" width="8.7109375" style="82" customWidth="1"/>
    <col min="17" max="17" width="2.7109375" style="82" customWidth="1"/>
    <col min="18" max="18" width="8.7109375" style="82" customWidth="1"/>
    <col min="19" max="21" width="10.7109375" style="82" customWidth="1"/>
    <col min="22" max="16384" width="11.421875" style="82" customWidth="1"/>
  </cols>
  <sheetData>
    <row r="1" spans="1:18" ht="15" customHeight="1">
      <c r="A1" s="81"/>
      <c r="B1" s="51" t="str">
        <f>'1.0'!B1</f>
        <v>Proje :</v>
      </c>
      <c r="C1" s="7" t="str">
        <f>'1.0'!C1</f>
        <v>Takimtezgahı</v>
      </c>
      <c r="D1" s="83"/>
      <c r="E1" s="83"/>
      <c r="F1" s="83"/>
      <c r="G1" s="83"/>
      <c r="H1" s="83"/>
      <c r="I1" s="83"/>
      <c r="J1" s="83"/>
      <c r="K1" s="32" t="str">
        <f>Info!K7</f>
        <v>Copyright : M. G. Kutay , Ver 14.04</v>
      </c>
      <c r="M1" s="32"/>
      <c r="N1" s="32"/>
      <c r="O1" s="53"/>
      <c r="P1" s="53"/>
      <c r="Q1" s="81"/>
      <c r="R1" s="81"/>
    </row>
    <row r="2" spans="1:18" ht="15" customHeight="1">
      <c r="A2" s="81"/>
      <c r="B2" s="175"/>
      <c r="C2"/>
      <c r="D2"/>
      <c r="E2"/>
      <c r="F2"/>
      <c r="G2"/>
      <c r="H2"/>
      <c r="I2"/>
      <c r="J2"/>
      <c r="K2" s="32"/>
      <c r="M2" s="32"/>
      <c r="N2" s="32"/>
      <c r="O2" s="53"/>
      <c r="P2" s="53"/>
      <c r="Q2" s="81"/>
      <c r="R2" s="81"/>
    </row>
    <row r="3" spans="1:18" ht="15" customHeight="1">
      <c r="A3" s="81"/>
      <c r="B3" s="417" t="str">
        <f>'1.0'!H25</f>
        <v>A) Diş dibi kırılma mukavemet hesabı</v>
      </c>
      <c r="C3" s="417"/>
      <c r="D3" s="417"/>
      <c r="E3" s="47" t="str">
        <f>'1.0'!D3</f>
        <v>Pinyon</v>
      </c>
      <c r="F3" s="47" t="str">
        <f>'1.0'!E3</f>
        <v>Çark</v>
      </c>
      <c r="H3" s="180" t="str">
        <f>'1.0'!H30</f>
        <v>B) Diş yanağı form mukavemet hesabı</v>
      </c>
      <c r="I3" s="6"/>
      <c r="J3" s="6"/>
      <c r="K3" s="47"/>
      <c r="L3" s="6"/>
      <c r="R3" s="81"/>
    </row>
    <row r="4" spans="1:18" ht="15" customHeight="1">
      <c r="A4" s="81"/>
      <c r="B4" s="89" t="str">
        <f>'1.0'!B34</f>
        <v>Teğet Kuvvet</v>
      </c>
      <c r="C4" s="126" t="s">
        <v>51</v>
      </c>
      <c r="D4" s="92" t="s">
        <v>43</v>
      </c>
      <c r="E4" s="101">
        <f>'1.0'!D34</f>
        <v>2727.450980392157</v>
      </c>
      <c r="F4" s="93">
        <f>E4</f>
        <v>2727.450980392157</v>
      </c>
      <c r="H4" s="89" t="str">
        <f>'1.0'!B9</f>
        <v>Taksimat dairesi</v>
      </c>
      <c r="I4" s="146" t="s">
        <v>24</v>
      </c>
      <c r="J4" s="92" t="s">
        <v>63</v>
      </c>
      <c r="K4" s="99">
        <f>'1.0'!D9</f>
        <v>102</v>
      </c>
      <c r="L4" s="6"/>
      <c r="R4" s="81"/>
    </row>
    <row r="5" spans="1:18" ht="15" customHeight="1">
      <c r="A5" s="81"/>
      <c r="B5" s="90" t="str">
        <f>'1.0'!B25</f>
        <v>Diş dibi mukavemeti</v>
      </c>
      <c r="C5" s="127" t="s">
        <v>97</v>
      </c>
      <c r="D5" s="115" t="s">
        <v>49</v>
      </c>
      <c r="E5" s="102">
        <f>'1.0'!D25</f>
        <v>310</v>
      </c>
      <c r="F5" s="94">
        <f>'1.0'!E25</f>
        <v>310</v>
      </c>
      <c r="H5" s="90" t="str">
        <f>'1.0'!B21</f>
        <v>Diş genişliği</v>
      </c>
      <c r="I5" s="147" t="s">
        <v>8</v>
      </c>
      <c r="J5" s="115" t="s">
        <v>63</v>
      </c>
      <c r="K5" s="100">
        <f>'1.0'!E21</f>
        <v>60</v>
      </c>
      <c r="L5" s="6"/>
      <c r="R5" s="81"/>
    </row>
    <row r="6" spans="1:18" ht="15" customHeight="1">
      <c r="A6" s="81"/>
      <c r="B6" s="90" t="str">
        <f>'1.0'!B26</f>
        <v>Diş yanak mukavemeti</v>
      </c>
      <c r="C6" s="127" t="s">
        <v>98</v>
      </c>
      <c r="D6" s="115" t="s">
        <v>49</v>
      </c>
      <c r="E6" s="102">
        <f>'1.0'!D26</f>
        <v>1100</v>
      </c>
      <c r="F6" s="94">
        <f>'1.0'!E26</f>
        <v>1100</v>
      </c>
      <c r="H6" s="90" t="str">
        <f>'1.0'!B5</f>
        <v>Modül</v>
      </c>
      <c r="I6" s="148" t="s">
        <v>100</v>
      </c>
      <c r="J6" s="123" t="s">
        <v>63</v>
      </c>
      <c r="K6" s="100">
        <f>'1.0'!D5</f>
        <v>6</v>
      </c>
      <c r="L6" s="6"/>
      <c r="R6" s="81"/>
    </row>
    <row r="7" spans="1:18" ht="15" customHeight="1">
      <c r="A7" s="81"/>
      <c r="B7" s="15" t="str">
        <f>'1.0'!B27</f>
        <v>Elastiklik modülü</v>
      </c>
      <c r="C7" s="140" t="s">
        <v>50</v>
      </c>
      <c r="D7" s="116" t="s">
        <v>49</v>
      </c>
      <c r="E7" s="141">
        <f>'1.0'!D27</f>
        <v>210000</v>
      </c>
      <c r="F7" s="142">
        <f>'1.0'!E27</f>
        <v>210000</v>
      </c>
      <c r="H7" s="15" t="str">
        <f>IF(Info!H8&gt;2.5,"Gear ratio",IF(Info!H8&gt;1.5,"Zähnezahlverhältnis",IF(Info!H8&gt;0.5,"Çevirme oranı","")))</f>
        <v>Çevirme oranı</v>
      </c>
      <c r="I7" s="149" t="s">
        <v>0</v>
      </c>
      <c r="J7" s="144" t="s">
        <v>93</v>
      </c>
      <c r="K7" s="98">
        <f>'1.0'!E4/'1.0'!D4</f>
        <v>5.0588235294117645</v>
      </c>
      <c r="L7" s="6"/>
      <c r="R7" s="81"/>
    </row>
    <row r="8" spans="1:18" ht="15" customHeight="1">
      <c r="A8" s="81"/>
      <c r="B8" s="46" t="str">
        <f>IF(Info!H8&gt;2.5,"Local foot stress",IF(Info!H8&gt;1.5,"Örtliche-Fussspannung",IF(Info!H8&gt;0.5,"Kısmi diş dibi gerilimi","")))</f>
        <v>Kısmi diş dibi gerilimi</v>
      </c>
      <c r="C8" s="5"/>
      <c r="D8" s="81"/>
      <c r="E8" s="6"/>
      <c r="F8" s="6"/>
      <c r="G8"/>
      <c r="H8" s="46" t="str">
        <f>IF(Info!H8&gt;2.5,"Hertz flank pressure",IF(Info!H8&gt;1.5,"Hertz'sche Flankenpressung ",IF(Info!H8&gt;0.5,"Yanaklarda Hertz basıncı","")))</f>
        <v>Yanaklarda Hertz basıncı</v>
      </c>
      <c r="I8" s="150"/>
      <c r="J8" s="6"/>
      <c r="K8" s="32"/>
      <c r="L8" s="6"/>
      <c r="R8" s="81"/>
    </row>
    <row r="9" spans="1:18" ht="15" customHeight="1">
      <c r="A9" s="81"/>
      <c r="B9" s="89" t="str">
        <f>B8</f>
        <v>Kısmi diş dibi gerilimi</v>
      </c>
      <c r="C9" s="128" t="s">
        <v>44</v>
      </c>
      <c r="D9" s="109" t="s">
        <v>49</v>
      </c>
      <c r="E9" s="103">
        <f>$E$4/'1.0'!E21/'1.0'!D5*E10*E11*E12*E13</f>
        <v>19.592751279953696</v>
      </c>
      <c r="F9" s="91">
        <f>$E$4/'1.0'!E21/'1.0'!D5*F10*F11*F12*F13</f>
        <v>19.193169535539994</v>
      </c>
      <c r="G9"/>
      <c r="H9" s="89" t="str">
        <f>H8</f>
        <v>Yanaklarda Hertz basıncı</v>
      </c>
      <c r="I9" s="151" t="s">
        <v>65</v>
      </c>
      <c r="J9" s="92" t="s">
        <v>49</v>
      </c>
      <c r="K9" s="106">
        <f>(E4*(K7+1)/(K5*K4*K7))^(0.5)*K10*K11</f>
        <v>324.7548474146986</v>
      </c>
      <c r="L9" s="6"/>
      <c r="R9" s="81"/>
    </row>
    <row r="10" spans="1:18" ht="15" customHeight="1">
      <c r="A10" s="81"/>
      <c r="B10" s="90" t="str">
        <f>IF(Info!H8&gt;2.5,"Tip factor",IF(Info!H8&gt;1.5,"Kopffaktor",IF(Info!H8&gt;0.5,"Dişüstü faktörü","")))</f>
        <v>Dişüstü faktörü</v>
      </c>
      <c r="C10" s="129" t="s">
        <v>52</v>
      </c>
      <c r="D10" s="143" t="s">
        <v>93</v>
      </c>
      <c r="E10" s="307">
        <v>2.465</v>
      </c>
      <c r="F10" s="310">
        <v>2.142</v>
      </c>
      <c r="G10"/>
      <c r="H10" s="90" t="str">
        <f>IF(Info!H8&gt;2.5,"Distribution factor",IF(Info!H8&gt;1.5,"Zonenfaktor",IF(Info!H8&gt;0.5,"Diş yanağı form faktörü ","")))</f>
        <v>Diş yanağı form faktörü </v>
      </c>
      <c r="I10" s="152" t="s">
        <v>101</v>
      </c>
      <c r="J10" s="143" t="s">
        <v>93</v>
      </c>
      <c r="K10" s="314">
        <v>2.32</v>
      </c>
      <c r="L10"/>
      <c r="M10"/>
      <c r="R10" s="81"/>
    </row>
    <row r="11" spans="1:18" ht="15" customHeight="1">
      <c r="A11" s="81"/>
      <c r="B11" s="90" t="str">
        <f>IF(Info!H8&gt;2.5,"Stress correction factor",IF(Info!H8&gt;1.5,"Spannungskorrekturfaktor",IF(Info!H8&gt;0.5,"Çentik faktörü","")))</f>
        <v>Çentik faktörü</v>
      </c>
      <c r="C11" s="129" t="s">
        <v>53</v>
      </c>
      <c r="D11" s="143" t="s">
        <v>93</v>
      </c>
      <c r="E11" s="307">
        <v>1.775</v>
      </c>
      <c r="F11" s="310">
        <v>2.001</v>
      </c>
      <c r="G11"/>
      <c r="H11" s="15" t="str">
        <f>IF(Info!H8&gt;2.5,"Elastic factor",IF(Info!H8&gt;1.5,"Elastizitätsfaktor",IF(Info!H8&gt;0.5,"Elastikiyet faktörü ","")))</f>
        <v>Elastikiyet faktörü </v>
      </c>
      <c r="I11" s="153" t="s">
        <v>102</v>
      </c>
      <c r="J11" s="143" t="s">
        <v>93</v>
      </c>
      <c r="K11" s="315">
        <v>191.6</v>
      </c>
      <c r="L11"/>
      <c r="M11"/>
      <c r="R11" s="81"/>
    </row>
    <row r="12" spans="1:18" ht="15" customHeight="1">
      <c r="A12" s="81"/>
      <c r="B12" s="90" t="str">
        <f>IF(Info!H8&gt;2.5,"Contact ratio factor",IF(Info!H8&gt;1.5,"Überdeckungsfaktor",IF(Info!H8&gt;0.5,"Yük payı faktörü","")))</f>
        <v>Yük payı faktörü</v>
      </c>
      <c r="C12" s="129" t="s">
        <v>54</v>
      </c>
      <c r="D12" s="143" t="s">
        <v>93</v>
      </c>
      <c r="E12" s="308">
        <v>0.707</v>
      </c>
      <c r="F12" s="164">
        <f>E12</f>
        <v>0.707</v>
      </c>
      <c r="G12"/>
      <c r="H12" s="22" t="str">
        <f>IF(Info!H8&gt;2.5,"Local Hertz pressure",IF(Info!H8&gt;1.5,"Örtliche Hertz'sche Pressung",IF(Info!H8&gt;0.5,"Yerel Hertz basıncı","")))</f>
        <v>Yerel Hertz basıncı</v>
      </c>
      <c r="I12" s="150"/>
      <c r="J12" s="6"/>
      <c r="K12" s="32"/>
      <c r="L12"/>
      <c r="M12"/>
      <c r="R12" s="81"/>
    </row>
    <row r="13" spans="1:18" ht="15" customHeight="1">
      <c r="A13" s="81"/>
      <c r="B13" s="15" t="str">
        <f>IF(Info!H8&gt;2.5,"Helix factor",IF(Info!H8&gt;1.5,"Schrägenfaktor",IF(Info!H8&gt;0.5,"Helis faktörü ","")))</f>
        <v>Helis faktörü </v>
      </c>
      <c r="C13" s="130" t="s">
        <v>55</v>
      </c>
      <c r="D13" s="144" t="s">
        <v>93</v>
      </c>
      <c r="E13" s="309">
        <v>0.836</v>
      </c>
      <c r="F13" s="13">
        <f>E13</f>
        <v>0.836</v>
      </c>
      <c r="G13"/>
      <c r="H13" s="89" t="str">
        <f>H12</f>
        <v>Yerel Hertz basıncı</v>
      </c>
      <c r="I13" s="151" t="s">
        <v>59</v>
      </c>
      <c r="J13" s="92" t="s">
        <v>49</v>
      </c>
      <c r="K13" s="106">
        <f>K9*K14*K15</f>
        <v>258.3100056336512</v>
      </c>
      <c r="L13"/>
      <c r="M13"/>
      <c r="R13" s="81"/>
    </row>
    <row r="14" spans="1:18" ht="15" customHeight="1">
      <c r="A14" s="81"/>
      <c r="B14" s="46" t="str">
        <f>IF(Info!H8&gt;2.5,"Foot reference stress",IF(Info!H8&gt;1.5,"Fussvergleichsspannung",IF(Info!H8&gt;0.5,"Diş dibi karşılaştırma mukavemeti","")))</f>
        <v>Diş dibi karşılaştırma mukavemeti</v>
      </c>
      <c r="C14" s="131"/>
      <c r="D14" s="81"/>
      <c r="E14" s="6"/>
      <c r="F14" s="6"/>
      <c r="G14"/>
      <c r="H14" s="90" t="str">
        <f>B12</f>
        <v>Yük payı faktörü</v>
      </c>
      <c r="I14" s="152" t="s">
        <v>60</v>
      </c>
      <c r="J14" s="143" t="s">
        <v>93</v>
      </c>
      <c r="K14" s="314">
        <v>0.82</v>
      </c>
      <c r="L14"/>
      <c r="M14"/>
      <c r="R14" s="81"/>
    </row>
    <row r="15" spans="1:18" ht="15" customHeight="1">
      <c r="A15" s="81"/>
      <c r="B15" s="89" t="str">
        <f>B14</f>
        <v>Diş dibi karşılaştırma mukavemeti</v>
      </c>
      <c r="C15" s="128" t="s">
        <v>129</v>
      </c>
      <c r="D15" s="92" t="s">
        <v>49</v>
      </c>
      <c r="E15" s="104">
        <f>E9*E16*E17*E18*E19</f>
        <v>98.9581829642873</v>
      </c>
      <c r="F15" s="95">
        <f>F9*F16*F17*F18*F19</f>
        <v>96.9399935427058</v>
      </c>
      <c r="G15"/>
      <c r="H15" s="15" t="str">
        <f>B13</f>
        <v>Helis faktörü </v>
      </c>
      <c r="I15" s="153" t="s">
        <v>61</v>
      </c>
      <c r="J15" s="144" t="s">
        <v>93</v>
      </c>
      <c r="K15" s="316">
        <v>0.97</v>
      </c>
      <c r="L15"/>
      <c r="M15"/>
      <c r="R15" s="81"/>
    </row>
    <row r="16" spans="1:18" ht="15" customHeight="1">
      <c r="A16" s="81"/>
      <c r="B16" s="90" t="str">
        <f>IF(Info!H8&gt;2.5,"Application factor",IF(Info!H8&gt;1.5,"Anwendungsfaktor",IF(Info!H8&gt;0.5,"İşletme faktörü ","")))</f>
        <v>İşletme faktörü </v>
      </c>
      <c r="C16" s="132" t="s">
        <v>56</v>
      </c>
      <c r="D16" s="143" t="s">
        <v>93</v>
      </c>
      <c r="E16" s="308">
        <v>1.5</v>
      </c>
      <c r="F16" s="164">
        <f>E16</f>
        <v>1.5</v>
      </c>
      <c r="G16"/>
      <c r="H16" s="22" t="str">
        <f>IF(Info!H8&gt;2.5,"Available flank pressure",IF(Info!H8&gt;1.5,"Vorhandene Flankenpressung",IF(Info!H8&gt;0.5,"İşletmede Hertz basıncı","")))</f>
        <v>İşletmede Hertz basıncı</v>
      </c>
      <c r="I16" s="154"/>
      <c r="J16" s="6"/>
      <c r="K16" s="32"/>
      <c r="L16"/>
      <c r="M16"/>
      <c r="R16" s="81"/>
    </row>
    <row r="17" spans="1:18" ht="15" customHeight="1">
      <c r="A17" s="81"/>
      <c r="B17" s="90" t="str">
        <f>IF(Info!H8&gt;2.5,"Dynamics factor",IF(Info!H8&gt;1.5,"Dynamikfaktor",IF(Info!H8&gt;0.5,"Dinamik faktör","")))</f>
        <v>Dinamik faktör</v>
      </c>
      <c r="C17" s="129" t="s">
        <v>57</v>
      </c>
      <c r="D17" s="143" t="s">
        <v>93</v>
      </c>
      <c r="E17" s="308">
        <v>1.1467</v>
      </c>
      <c r="F17" s="164">
        <f>E17</f>
        <v>1.1467</v>
      </c>
      <c r="G17"/>
      <c r="H17" s="89" t="str">
        <f>H16</f>
        <v>İşletmede Hertz basıncı</v>
      </c>
      <c r="I17" s="151" t="s">
        <v>131</v>
      </c>
      <c r="J17" s="92" t="s">
        <v>49</v>
      </c>
      <c r="K17" s="161">
        <f>K13*(K18*K19*K20*K21)^(0.5)</f>
        <v>580.5229217326648</v>
      </c>
      <c r="L17"/>
      <c r="M17"/>
      <c r="R17" s="81"/>
    </row>
    <row r="18" spans="1:18" ht="15" customHeight="1">
      <c r="A18" s="81"/>
      <c r="B18" s="90" t="str">
        <f>IF(Info!H8&gt;2.5,"Width factor",IF(Info!H8&gt;1.5,"Breitenfaktor",IF(Info!H8&gt;0.5,"Yük dağılma faktörü","")))</f>
        <v>Yük dağılma faktörü</v>
      </c>
      <c r="C18" s="129" t="s">
        <v>64</v>
      </c>
      <c r="D18" s="143" t="s">
        <v>93</v>
      </c>
      <c r="E18" s="311">
        <v>2.447</v>
      </c>
      <c r="F18" s="164">
        <f>E18</f>
        <v>2.447</v>
      </c>
      <c r="G18"/>
      <c r="H18" s="90" t="str">
        <f>B16</f>
        <v>İşletme faktörü </v>
      </c>
      <c r="I18" s="155" t="s">
        <v>56</v>
      </c>
      <c r="J18" s="143" t="s">
        <v>93</v>
      </c>
      <c r="K18" s="164">
        <f>E16</f>
        <v>1.5</v>
      </c>
      <c r="L18"/>
      <c r="M18"/>
      <c r="R18" s="81"/>
    </row>
    <row r="19" spans="1:18" ht="15" customHeight="1">
      <c r="A19" s="81"/>
      <c r="B19" s="117" t="str">
        <f>IF(Info!H8&gt;2.5,"Transverse factor",IF(Info!H8&gt;1.5,"Stirnfaktor",IF(Info!H8&gt;0.5,"Alın yükü dağılma faktörü","")))</f>
        <v>Alın yükü dağılma faktörü</v>
      </c>
      <c r="C19" s="133" t="s">
        <v>121</v>
      </c>
      <c r="D19" s="144" t="s">
        <v>93</v>
      </c>
      <c r="E19" s="309">
        <v>1.2</v>
      </c>
      <c r="F19" s="13">
        <f>E19</f>
        <v>1.2</v>
      </c>
      <c r="G19"/>
      <c r="H19" s="90" t="str">
        <f>B17</f>
        <v>Dinamik faktör</v>
      </c>
      <c r="I19" s="156" t="s">
        <v>57</v>
      </c>
      <c r="J19" s="143" t="s">
        <v>93</v>
      </c>
      <c r="K19" s="164">
        <f>E17</f>
        <v>1.1467</v>
      </c>
      <c r="L19"/>
      <c r="M19"/>
      <c r="R19" s="81"/>
    </row>
    <row r="20" spans="1:18" ht="15" customHeight="1">
      <c r="A20" s="81"/>
      <c r="B20" s="46" t="str">
        <f>IF(Info!H8&gt;2.5,"Strength depending on shape root of teeth",IF(Info!H8&gt;1.5,"Gestaltfestigkeit am Zahnfuss",IF(Info!H8&gt;0.5,"Diş dibi form mukavemeti","")))</f>
        <v>Diş dibi form mukavemeti</v>
      </c>
      <c r="C20" s="5"/>
      <c r="D20" s="6"/>
      <c r="E20" s="6"/>
      <c r="F20" s="6"/>
      <c r="G20"/>
      <c r="H20" s="90" t="str">
        <f>B18</f>
        <v>Yük dağılma faktörü</v>
      </c>
      <c r="I20" s="156" t="s">
        <v>62</v>
      </c>
      <c r="J20" s="143" t="s">
        <v>93</v>
      </c>
      <c r="K20" s="164">
        <f>E18</f>
        <v>2.447</v>
      </c>
      <c r="L20"/>
      <c r="M20"/>
      <c r="R20" s="81"/>
    </row>
    <row r="21" spans="1:18" ht="15" customHeight="1">
      <c r="A21" s="81"/>
      <c r="B21" s="118" t="str">
        <f>B20</f>
        <v>Diş dibi form mukavemeti</v>
      </c>
      <c r="C21" s="134" t="s">
        <v>99</v>
      </c>
      <c r="D21" s="109" t="s">
        <v>49</v>
      </c>
      <c r="E21" s="107">
        <f>E5*E22*E23*E24*E25*E26</f>
        <v>644.3598</v>
      </c>
      <c r="F21" s="108">
        <f>F5*F22*F23*F24*F25*F26</f>
        <v>644.3598</v>
      </c>
      <c r="G21"/>
      <c r="H21" s="15" t="str">
        <f>B19</f>
        <v>Alın yükü dağılma faktörü</v>
      </c>
      <c r="I21" s="153" t="s">
        <v>103</v>
      </c>
      <c r="J21" s="144" t="s">
        <v>93</v>
      </c>
      <c r="K21" s="13">
        <f>E19</f>
        <v>1.2</v>
      </c>
      <c r="L21"/>
      <c r="M21"/>
      <c r="R21" s="81"/>
    </row>
    <row r="22" spans="1:18" ht="15" customHeight="1">
      <c r="A22" s="81"/>
      <c r="B22" s="119" t="str">
        <f>B11</f>
        <v>Çentik faktörü</v>
      </c>
      <c r="C22" s="135" t="s">
        <v>45</v>
      </c>
      <c r="D22" s="143" t="s">
        <v>93</v>
      </c>
      <c r="E22" s="307">
        <v>2</v>
      </c>
      <c r="F22" s="164">
        <f>E22</f>
        <v>2</v>
      </c>
      <c r="G22"/>
      <c r="H22" s="22" t="str">
        <f>'1.0'!H32</f>
        <v>Diş yanağı form mukavemeti</v>
      </c>
      <c r="I22" s="154"/>
      <c r="J22" s="6"/>
      <c r="K22" s="47" t="str">
        <f>E3</f>
        <v>Pinyon</v>
      </c>
      <c r="L22" s="47" t="str">
        <f>F3</f>
        <v>Çark</v>
      </c>
      <c r="R22" s="81"/>
    </row>
    <row r="23" spans="1:18" ht="15" customHeight="1">
      <c r="A23" s="81"/>
      <c r="B23" s="90" t="str">
        <f>IF(Info!H8&gt;2.5,"Life time factor",IF(Info!H8&gt;1.5,"Lebensdauerfaktor",IF(Info!H8&gt;0.5,"Dayanma süresi faktörü ","")))</f>
        <v>Dayanma süresi faktörü </v>
      </c>
      <c r="C23" s="136" t="s">
        <v>46</v>
      </c>
      <c r="D23" s="143" t="s">
        <v>93</v>
      </c>
      <c r="E23" s="307">
        <v>1</v>
      </c>
      <c r="F23" s="164">
        <f>E23</f>
        <v>1</v>
      </c>
      <c r="G23"/>
      <c r="H23" s="10" t="str">
        <f>H22</f>
        <v>Diş yanağı form mukavemeti</v>
      </c>
      <c r="I23" s="151" t="s">
        <v>125</v>
      </c>
      <c r="J23" s="92" t="s">
        <v>49</v>
      </c>
      <c r="K23" s="97">
        <f>E6*K24*(K25*K26*K27)*K28*K29</f>
        <v>976.805423253</v>
      </c>
      <c r="L23" s="97">
        <f>E6*L24*(L25*L26*L27)*L28*L29</f>
        <v>976.805423253</v>
      </c>
      <c r="N23"/>
      <c r="R23" s="81"/>
    </row>
    <row r="24" spans="1:18" ht="15" customHeight="1">
      <c r="A24" s="81"/>
      <c r="B24" s="119" t="str">
        <f>IF(Info!H8&gt;2.5,"Relative supporting digit",IF(Info!H8&gt;1.5,"Relative Stützziffer",IF(Info!H8&gt;0.5,"Göreceli dayanışma faktörü","")))</f>
        <v>Göreceli dayanışma faktörü</v>
      </c>
      <c r="C24" s="136" t="s">
        <v>58</v>
      </c>
      <c r="D24" s="143" t="s">
        <v>93</v>
      </c>
      <c r="E24" s="307">
        <v>1.01</v>
      </c>
      <c r="F24" s="164">
        <f>E24</f>
        <v>1.01</v>
      </c>
      <c r="G24"/>
      <c r="H24" s="159" t="str">
        <f>B23</f>
        <v>Dayanma süresi faktörü </v>
      </c>
      <c r="I24" s="152" t="s">
        <v>104</v>
      </c>
      <c r="J24" s="143" t="s">
        <v>93</v>
      </c>
      <c r="K24" s="317">
        <v>1.237</v>
      </c>
      <c r="L24" s="88">
        <f aca="true" t="shared" si="0" ref="L24:L29">K24</f>
        <v>1.237</v>
      </c>
      <c r="M24"/>
      <c r="R24" s="81"/>
    </row>
    <row r="25" spans="1:18" ht="15" customHeight="1">
      <c r="A25" s="81"/>
      <c r="B25" s="119" t="str">
        <f>IF(Info!H8&gt;2.5,"Relative surface factor",IF(Info!H8&gt;1.5,"Relative Oberflächenfaktor",IF(Info!H8&gt;0.5,"Göreceli yüzey faktörü","")))</f>
        <v>Göreceli yüzey faktörü</v>
      </c>
      <c r="C25" s="136" t="s">
        <v>47</v>
      </c>
      <c r="D25" s="143" t="s">
        <v>93</v>
      </c>
      <c r="E25" s="307">
        <v>1.029</v>
      </c>
      <c r="F25" s="164">
        <f>E25</f>
        <v>1.029</v>
      </c>
      <c r="G25"/>
      <c r="H25" s="90" t="str">
        <f>IF(Info!H8&gt;2.5,"Lubricant factor",IF(Info!H8&gt;1.5,"Schmierstoffaktor",IF(Info!H8&gt;0.5,"Yağlama faktörü","")))</f>
        <v>Yağlama faktörü</v>
      </c>
      <c r="I25" s="152" t="s">
        <v>105</v>
      </c>
      <c r="J25" s="143" t="s">
        <v>93</v>
      </c>
      <c r="K25" s="317">
        <v>1.017</v>
      </c>
      <c r="L25" s="88">
        <f t="shared" si="0"/>
        <v>1.017</v>
      </c>
      <c r="M25"/>
      <c r="R25" s="81"/>
    </row>
    <row r="26" spans="1:18" ht="15" customHeight="1">
      <c r="A26" s="81"/>
      <c r="B26" s="117" t="str">
        <f>IF(Info!H8&gt;2.5,"Size factor",IF(Info!H8&gt;1.5,"Grössenfaktor",IF(Info!H8&gt;0.5,"Büyüklük faktörü","")))</f>
        <v>Büyüklük faktörü</v>
      </c>
      <c r="C26" s="137" t="s">
        <v>48</v>
      </c>
      <c r="D26" s="144" t="s">
        <v>93</v>
      </c>
      <c r="E26" s="312">
        <v>1</v>
      </c>
      <c r="F26" s="13">
        <f>E26</f>
        <v>1</v>
      </c>
      <c r="G26"/>
      <c r="H26" s="90" t="str">
        <f>IF(Info!H8&gt;2.5,"Rate factor",IF(Info!H8&gt;1.5,"Geschwindigkeitsfaktor",IF(Info!H8&gt;0.5,"Hız faktörü","")))</f>
        <v>Hız faktörü</v>
      </c>
      <c r="I26" s="152" t="s">
        <v>106</v>
      </c>
      <c r="J26" s="143" t="s">
        <v>93</v>
      </c>
      <c r="K26" s="317">
        <v>0.93</v>
      </c>
      <c r="L26" s="88">
        <f t="shared" si="0"/>
        <v>0.93</v>
      </c>
      <c r="M26"/>
      <c r="R26" s="81"/>
    </row>
    <row r="27" spans="1:18" ht="15" customHeight="1">
      <c r="A27" s="81"/>
      <c r="B27" s="22" t="str">
        <f>IF(Info!H8&gt;2.5,"Safety factors for the tooth base",IF(Info!H8&gt;1.5,"Sicherheitsfaktoren am Zahnfuss",IF(Info!H8&gt;0.5,"Malzemenin diş dibi yorulma kırılmasına karşı emniyet katsayısı","")))</f>
        <v>Malzemenin diş dibi yorulma kırılmasına karşı emniyet katsayısı</v>
      </c>
      <c r="C27" s="5"/>
      <c r="D27" s="6"/>
      <c r="E27" s="6"/>
      <c r="F27" s="6"/>
      <c r="G27"/>
      <c r="H27" s="90" t="str">
        <f>IF(Info!H8&gt;2.5,"Roughness factor",IF(Info!H8&gt;1.5,"Rauigkeitsfaktor",IF(Info!H8&gt;0.5,"Kalite faktörü","")))</f>
        <v>Kalite faktörü</v>
      </c>
      <c r="I27" s="152" t="s">
        <v>107</v>
      </c>
      <c r="J27" s="143" t="s">
        <v>93</v>
      </c>
      <c r="K27" s="317">
        <v>0.759</v>
      </c>
      <c r="L27" s="88">
        <f t="shared" si="0"/>
        <v>0.759</v>
      </c>
      <c r="M27"/>
      <c r="R27" s="81"/>
    </row>
    <row r="28" spans="1:18" ht="15" customHeight="1">
      <c r="A28" s="81"/>
      <c r="B28" s="118" t="str">
        <f>'1.0'!H28</f>
        <v>Hesapsal Emniyet faktörü</v>
      </c>
      <c r="C28" s="138" t="s">
        <v>130</v>
      </c>
      <c r="D28" s="145" t="s">
        <v>93</v>
      </c>
      <c r="E28" s="121">
        <f>E21/E15</f>
        <v>6.511435241616561</v>
      </c>
      <c r="F28" s="122">
        <f>F21/F15</f>
        <v>6.646996522814236</v>
      </c>
      <c r="H28" s="90" t="str">
        <f>IF(Info!H8&gt;2.5,"Pairing of materials factor",IF(Info!H8&gt;1.5,"Werkstoffpaarungsfaktor",IF(Info!H8&gt;0.5,"Malzeme çifti faktörü","")))</f>
        <v>Malzeme çifti faktörü</v>
      </c>
      <c r="I28" s="152" t="s">
        <v>108</v>
      </c>
      <c r="J28" s="143" t="s">
        <v>93</v>
      </c>
      <c r="K28" s="317">
        <v>1</v>
      </c>
      <c r="L28" s="88">
        <f t="shared" si="0"/>
        <v>1</v>
      </c>
      <c r="M28"/>
      <c r="R28" s="81"/>
    </row>
    <row r="29" spans="1:18" ht="15" customHeight="1">
      <c r="A29" s="81"/>
      <c r="B29" s="15" t="str">
        <f>IF(Info!H8&gt;2.5,"Required safety factor",IF(Info!H8&gt;1.5,"Erf. Sicherheitsfaktor",IF(Info!H8&gt;0.5,"Gerekli Emniyet faktörü","")))</f>
        <v>Gerekli Emniyet faktörü</v>
      </c>
      <c r="C29" s="139" t="s">
        <v>126</v>
      </c>
      <c r="D29" s="144" t="s">
        <v>93</v>
      </c>
      <c r="E29" s="415">
        <f>'1.0'!D31</f>
        <v>1.4</v>
      </c>
      <c r="F29" s="416"/>
      <c r="G29" s="125"/>
      <c r="H29" s="117" t="str">
        <f>B26</f>
        <v>Büyüklük faktörü</v>
      </c>
      <c r="I29" s="153" t="s">
        <v>109</v>
      </c>
      <c r="J29" s="144" t="s">
        <v>93</v>
      </c>
      <c r="K29" s="318">
        <v>1</v>
      </c>
      <c r="L29" s="165">
        <f t="shared" si="0"/>
        <v>1</v>
      </c>
      <c r="M29"/>
      <c r="R29" s="81"/>
    </row>
    <row r="30" spans="1:18" ht="15" customHeight="1">
      <c r="A30" s="81"/>
      <c r="B30"/>
      <c r="C30"/>
      <c r="D30"/>
      <c r="E30" s="414" t="str">
        <f>IF(Info!H8&gt;2.5,E43,IF(Info!H8&gt;1.5,E42,E41))</f>
        <v>Yeterli</v>
      </c>
      <c r="F30" s="414"/>
      <c r="H30" s="22" t="str">
        <f>IF(Info!H8&gt;2.5,"Safety factors for flank pressure",IF(Info!H8&gt;1.5,"Sicherheitsfaktoren für Flankenpressung",IF(Info!H8&gt;0.5,"Malzemenin diş yanağının oyuklaşmaya karşı emniyet katsayısı","")))</f>
        <v>Malzemenin diş yanağının oyuklaşmaya karşı emniyet katsayısı</v>
      </c>
      <c r="I30" s="150"/>
      <c r="J30" s="32"/>
      <c r="K30" s="6"/>
      <c r="L30" s="6"/>
      <c r="R30" s="81"/>
    </row>
    <row r="31" spans="1:18" ht="15" customHeight="1">
      <c r="A31" s="81"/>
      <c r="B31"/>
      <c r="C31"/>
      <c r="D31"/>
      <c r="E31"/>
      <c r="F31"/>
      <c r="H31" s="118" t="str">
        <f>B28</f>
        <v>Hesapsal Emniyet faktörü</v>
      </c>
      <c r="I31" s="157" t="s">
        <v>128</v>
      </c>
      <c r="J31" s="143" t="s">
        <v>93</v>
      </c>
      <c r="K31" s="162">
        <f>K23/K17</f>
        <v>1.682630240228182</v>
      </c>
      <c r="L31" s="163">
        <f>L23/K17</f>
        <v>1.682630240228182</v>
      </c>
      <c r="R31" s="81"/>
    </row>
    <row r="32" spans="1:18" ht="15" customHeight="1">
      <c r="A32"/>
      <c r="B32"/>
      <c r="C32"/>
      <c r="D32"/>
      <c r="E32"/>
      <c r="F32"/>
      <c r="G32"/>
      <c r="H32" s="117" t="str">
        <f>B29</f>
        <v>Gerekli Emniyet faktörü</v>
      </c>
      <c r="I32" s="158" t="s">
        <v>127</v>
      </c>
      <c r="J32" s="144" t="s">
        <v>93</v>
      </c>
      <c r="K32" s="415">
        <f>'1.0'!D32</f>
        <v>0.8</v>
      </c>
      <c r="L32" s="416"/>
      <c r="M32" s="125"/>
      <c r="R32" s="81"/>
    </row>
    <row r="33" spans="1:18" ht="15" customHeight="1">
      <c r="A33"/>
      <c r="C33"/>
      <c r="D33"/>
      <c r="E33"/>
      <c r="F33"/>
      <c r="G33"/>
      <c r="K33" s="414" t="str">
        <f>IF(Info!H8&gt;2.5,K43,IF(Info!H8&gt;1.5,K42,K41))</f>
        <v>Yeterli</v>
      </c>
      <c r="L33" s="414"/>
      <c r="R33" s="81"/>
    </row>
    <row r="34" spans="1:18" ht="15" customHeight="1">
      <c r="A34"/>
      <c r="C34"/>
      <c r="D34"/>
      <c r="E34"/>
      <c r="F34"/>
      <c r="G34"/>
      <c r="R34" s="81"/>
    </row>
    <row r="35" spans="1:18" ht="15" customHeight="1">
      <c r="A35"/>
      <c r="C35" s="219"/>
      <c r="D35" s="219"/>
      <c r="E35" s="219"/>
      <c r="F35" s="231" t="str">
        <f>'1.0'!G36</f>
        <v>Düşünceler :</v>
      </c>
      <c r="G35" s="313"/>
      <c r="H35" s="313"/>
      <c r="I35" s="313"/>
      <c r="J35" s="313"/>
      <c r="K35" s="313"/>
      <c r="L35" s="313"/>
      <c r="M35" s="313"/>
      <c r="N35"/>
      <c r="O35" s="53"/>
      <c r="P35" s="53"/>
      <c r="Q35" s="81"/>
      <c r="R35" s="81"/>
    </row>
    <row r="36" spans="1:18" ht="15" customHeight="1">
      <c r="A36"/>
      <c r="B36" s="219"/>
      <c r="C36" s="219"/>
      <c r="D36" s="219"/>
      <c r="E36" s="219"/>
      <c r="F36" s="219"/>
      <c r="G36" s="313"/>
      <c r="H36" s="313"/>
      <c r="I36" s="313"/>
      <c r="J36" s="313"/>
      <c r="K36" s="313"/>
      <c r="L36" s="313"/>
      <c r="M36" s="313"/>
      <c r="N36"/>
      <c r="O36" s="53"/>
      <c r="P36" s="53"/>
      <c r="Q36" s="81"/>
      <c r="R36" s="81"/>
    </row>
    <row r="37" spans="1:18" ht="15" customHeight="1">
      <c r="A37" s="81"/>
      <c r="B37"/>
      <c r="C37"/>
      <c r="D37"/>
      <c r="E37"/>
      <c r="F37"/>
      <c r="G37"/>
      <c r="H37"/>
      <c r="I37"/>
      <c r="J37"/>
      <c r="K37"/>
      <c r="L37"/>
      <c r="M37"/>
      <c r="N37"/>
      <c r="O37" s="53"/>
      <c r="P37" s="53"/>
      <c r="Q37" s="81"/>
      <c r="R37" s="81"/>
    </row>
    <row r="38" spans="1:18" ht="15" customHeight="1" hidden="1">
      <c r="A38" s="81"/>
      <c r="B38"/>
      <c r="C38"/>
      <c r="D38"/>
      <c r="E38"/>
      <c r="F38"/>
      <c r="G38"/>
      <c r="H38"/>
      <c r="I38"/>
      <c r="J38"/>
      <c r="K38"/>
      <c r="L38"/>
      <c r="M38"/>
      <c r="N38" s="32"/>
      <c r="O38" s="53"/>
      <c r="P38" s="53"/>
      <c r="Q38" s="81"/>
      <c r="R38" s="81"/>
    </row>
    <row r="39" spans="1:18" ht="15" customHeight="1" hidden="1">
      <c r="A39" s="81"/>
      <c r="B39"/>
      <c r="C39"/>
      <c r="D39"/>
      <c r="E39"/>
      <c r="F39"/>
      <c r="G39"/>
      <c r="H39"/>
      <c r="I39"/>
      <c r="J39"/>
      <c r="K39"/>
      <c r="L39"/>
      <c r="M39"/>
      <c r="N39" s="32"/>
      <c r="O39" s="53"/>
      <c r="P39" s="53"/>
      <c r="Q39" s="81"/>
      <c r="R39" s="81"/>
    </row>
    <row r="40" spans="1:18" ht="15" customHeight="1" hidden="1">
      <c r="A40" s="81"/>
      <c r="B40"/>
      <c r="C40"/>
      <c r="D40"/>
      <c r="E40"/>
      <c r="F40"/>
      <c r="G40"/>
      <c r="H40"/>
      <c r="I40"/>
      <c r="J40"/>
      <c r="K40"/>
      <c r="L40"/>
      <c r="M40"/>
      <c r="N40" s="32"/>
      <c r="O40" s="53"/>
      <c r="P40" s="53"/>
      <c r="Q40" s="81"/>
      <c r="R40" s="81"/>
    </row>
    <row r="41" spans="1:18" ht="15" customHeight="1" hidden="1">
      <c r="A41" s="81"/>
      <c r="B41"/>
      <c r="C41"/>
      <c r="D41"/>
      <c r="E41" s="196" t="str">
        <f>IF(MIN(E28:F28)&gt;E29,"Yeterli","Yetersiz")</f>
        <v>Yeterli</v>
      </c>
      <c r="F41"/>
      <c r="G41"/>
      <c r="H41"/>
      <c r="I41"/>
      <c r="J41"/>
      <c r="K41" s="196" t="str">
        <f>IF(MIN(K31:L31)&gt;K32,"Yeterli","Yetersiz")</f>
        <v>Yeterli</v>
      </c>
      <c r="L41"/>
      <c r="M41"/>
      <c r="N41" s="32"/>
      <c r="O41" s="53"/>
      <c r="P41" s="53"/>
      <c r="Q41" s="81"/>
      <c r="R41" s="81"/>
    </row>
    <row r="42" spans="1:47" s="84" customFormat="1" ht="15" customHeight="1" hidden="1">
      <c r="A42" s="81"/>
      <c r="B42" s="53"/>
      <c r="C42" s="81"/>
      <c r="E42" s="196" t="str">
        <f>IF(MIN(E28:F28)&gt;E29,"zulässig ","  Nicht zulässig!")</f>
        <v>zulässig </v>
      </c>
      <c r="K42" s="196" t="str">
        <f>IF(MIN(K31:L31)&gt;K32,"zulässig ","  Nicht zulässig!")</f>
        <v>zulässig </v>
      </c>
      <c r="L42" s="53"/>
      <c r="M42" s="53"/>
      <c r="N42" s="53"/>
      <c r="O42" s="53"/>
      <c r="P42" s="53"/>
      <c r="Q42" s="81"/>
      <c r="R42" s="81"/>
      <c r="AI42" s="82"/>
      <c r="AJ42" s="82"/>
      <c r="AK42" s="82"/>
      <c r="AL42" s="82"/>
      <c r="AM42" s="82"/>
      <c r="AN42" s="82"/>
      <c r="AO42" s="82"/>
      <c r="AP42" s="82"/>
      <c r="AQ42" s="82"/>
      <c r="AR42" s="82"/>
      <c r="AS42" s="82"/>
      <c r="AT42" s="82"/>
      <c r="AU42" s="82"/>
    </row>
    <row r="43" spans="1:47" s="84" customFormat="1" ht="15" customHeight="1" hidden="1">
      <c r="A43" s="81"/>
      <c r="B43" s="53"/>
      <c r="C43" s="81"/>
      <c r="D43" s="53"/>
      <c r="E43" s="196" t="str">
        <f>IF(MIN(E28:F28)&gt;E29,"Permissible","Inadmissible! ")</f>
        <v>Permissible</v>
      </c>
      <c r="F43" s="53"/>
      <c r="G43" s="53"/>
      <c r="H43" s="53"/>
      <c r="I43" s="53"/>
      <c r="J43" s="53"/>
      <c r="K43" s="196" t="str">
        <f>IF(MIN(K31:L31)&gt;K32,"Permissible","Inadmissible! ")</f>
        <v>Permissible</v>
      </c>
      <c r="L43" s="53"/>
      <c r="M43" s="53"/>
      <c r="N43" s="53"/>
      <c r="O43" s="53"/>
      <c r="P43" s="53"/>
      <c r="Q43" s="81"/>
      <c r="R43" s="81"/>
      <c r="AI43" s="82"/>
      <c r="AJ43" s="82"/>
      <c r="AK43" s="82"/>
      <c r="AL43" s="82"/>
      <c r="AM43" s="82"/>
      <c r="AN43" s="82"/>
      <c r="AO43" s="82"/>
      <c r="AP43" s="82"/>
      <c r="AQ43" s="82"/>
      <c r="AR43" s="82"/>
      <c r="AS43" s="82"/>
      <c r="AT43" s="82"/>
      <c r="AU43" s="82"/>
    </row>
    <row r="44" spans="1:47" s="84" customFormat="1" ht="15" customHeight="1" hidden="1">
      <c r="A44" s="81"/>
      <c r="B44" s="53"/>
      <c r="C44" s="81"/>
      <c r="E44" s="160"/>
      <c r="F44" s="160"/>
      <c r="G44" s="160"/>
      <c r="H44" s="160"/>
      <c r="I44" s="160"/>
      <c r="J44" s="160"/>
      <c r="L44" s="53"/>
      <c r="M44" s="53"/>
      <c r="N44" s="53"/>
      <c r="O44" s="53"/>
      <c r="P44" s="53"/>
      <c r="Q44" s="81"/>
      <c r="R44" s="81"/>
      <c r="AI44" s="82"/>
      <c r="AJ44" s="82"/>
      <c r="AK44" s="82"/>
      <c r="AL44" s="82"/>
      <c r="AM44" s="82"/>
      <c r="AN44" s="82"/>
      <c r="AO44" s="82"/>
      <c r="AP44" s="82"/>
      <c r="AQ44" s="82"/>
      <c r="AR44" s="82"/>
      <c r="AS44" s="82"/>
      <c r="AT44" s="82"/>
      <c r="AU44" s="82"/>
    </row>
    <row r="45" ht="15" customHeight="1" hidden="1"/>
    <row r="46" ht="15" customHeight="1" hidden="1"/>
    <row r="47" ht="15" customHeight="1" hidden="1"/>
    <row r="48" ht="15" customHeight="1" hidden="1"/>
  </sheetData>
  <sheetProtection password="EF77" sheet="1" objects="1" scenarios="1"/>
  <mergeCells count="5">
    <mergeCell ref="K33:L33"/>
    <mergeCell ref="E29:F29"/>
    <mergeCell ref="K32:L32"/>
    <mergeCell ref="B3:D3"/>
    <mergeCell ref="E30:F30"/>
  </mergeCell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5" r:id="rId3"/>
  <headerFooter alignWithMargins="0">
    <oddFooter>&amp;L&amp;F / &amp;A / &amp;D&amp;RSeite &amp;P von &amp;N</oddFooter>
  </headerFooter>
  <legacyDrawing r:id="rId2"/>
  <oleObjects>
    <oleObject progId="AutoCAD.Drawing.15" shapeId="1340274" r:id="rId1"/>
  </oleObjects>
</worksheet>
</file>

<file path=xl/worksheets/sheet5.xml><?xml version="1.0" encoding="utf-8"?>
<worksheet xmlns="http://schemas.openxmlformats.org/spreadsheetml/2006/main" xmlns:r="http://schemas.openxmlformats.org/officeDocument/2006/relationships">
  <sheetPr codeName="Tabelle6"/>
  <dimension ref="B1:Z42"/>
  <sheetViews>
    <sheetView showGridLines="0" showRowColHeaders="0" tabSelected="1" workbookViewId="0" topLeftCell="A1">
      <selection activeCell="Z22" sqref="Z22"/>
    </sheetView>
  </sheetViews>
  <sheetFormatPr defaultColWidth="11.421875" defaultRowHeight="15" customHeight="1"/>
  <cols>
    <col min="1" max="5" width="4.28125" style="1" customWidth="1"/>
    <col min="6" max="15" width="9.7109375" style="1" customWidth="1"/>
    <col min="16" max="16" width="1.7109375" style="1" customWidth="1"/>
    <col min="17" max="22" width="5.28125" style="1" customWidth="1"/>
    <col min="23" max="23" width="9.7109375" style="1" customWidth="1"/>
    <col min="24" max="24" width="2.7109375" style="1" customWidth="1"/>
    <col min="25" max="25" width="10.421875" style="1" customWidth="1"/>
    <col min="26" max="26" width="5.7109375" style="1" customWidth="1"/>
    <col min="27" max="27" width="28.57421875" style="1" customWidth="1"/>
    <col min="28" max="16384" width="11.421875" style="1" customWidth="1"/>
  </cols>
  <sheetData>
    <row r="1" spans="2:23" ht="15" customHeight="1">
      <c r="B1" s="439" t="str">
        <f>'1.0'!B1</f>
        <v>Proje :</v>
      </c>
      <c r="C1" s="439"/>
      <c r="D1" s="439"/>
      <c r="E1" s="445" t="str">
        <f>'1.0'!C1</f>
        <v>Takimtezgahı</v>
      </c>
      <c r="F1" s="445"/>
      <c r="G1" s="445"/>
      <c r="H1" s="7"/>
      <c r="I1" s="21"/>
      <c r="J1" s="21"/>
      <c r="K1" s="8"/>
      <c r="L1" s="8"/>
      <c r="M1" s="8"/>
      <c r="N1" s="8"/>
      <c r="O1" s="8"/>
      <c r="P1" s="8"/>
      <c r="Q1" s="8"/>
      <c r="R1" s="17" t="str">
        <f>Info!K7</f>
        <v>Copyright : M. G. Kutay , Ver 14.04</v>
      </c>
      <c r="S1" s="17"/>
      <c r="T1" s="17"/>
      <c r="W1" s="17"/>
    </row>
    <row r="2" spans="5:11" ht="15" customHeight="1">
      <c r="E2" s="17"/>
      <c r="F2" s="11" t="str">
        <f>IF(Info!H8&gt;2.5,"Center distance",IF(Info!H8&gt;1.5,"Achsabstandabmasse  Aa  nach DIN 3964 (Auszug)",IF(Info!H8&gt;0.5,"Alın dişliler için Eksenler arası mesafesi toleransı Aa (DIN 3964)","")))</f>
        <v>Alın dişliler için Eksenler arası mesafesi toleransı Aa (DIN 3964)</v>
      </c>
      <c r="G2" s="17"/>
      <c r="H2" s="17"/>
      <c r="I2" s="17"/>
      <c r="J2" s="17"/>
      <c r="K2" s="17"/>
    </row>
    <row r="3" spans="5:22" ht="15" customHeight="1">
      <c r="E3" s="446" t="s">
        <v>122</v>
      </c>
      <c r="F3" s="292" t="s">
        <v>14</v>
      </c>
      <c r="G3" s="293">
        <f>IF(Q4&gt;5.5,"",IF(Q4&lt;4.5,"","XXXXXX"))</f>
      </c>
      <c r="H3" s="293" t="str">
        <f>IF(Q4&gt;6.5,"",IF(Q4&lt;5.5,"","XXXXXX"))</f>
        <v>XXXXXX</v>
      </c>
      <c r="I3" s="293">
        <f>IF(Q4&gt;7.5,"",IF(Q4&lt;6.5,"","XXXXXX"))</f>
      </c>
      <c r="J3" s="293">
        <f>IF(Q4&gt;8.5,"",IF(Q4&lt;7.5,"","XXXXXX"))</f>
      </c>
      <c r="K3" s="294">
        <f>IF(Q4&gt;9.5,"",IF(Q4&lt;8.5,"","XXXXXX"))</f>
      </c>
      <c r="M3" s="443" t="str">
        <f>'1.0'!B35</f>
        <v>Kullanıldığı yer</v>
      </c>
      <c r="N3" s="444"/>
      <c r="O3" s="444"/>
      <c r="P3" s="444"/>
      <c r="Q3" s="440" t="str">
        <f>IF(Info!H8&gt;2.5,"Aa-Line",IF(Info!H8&gt;1.5,"Aa-Reihe",IF(Info!H8&gt;0.5,"Aa-Tol.","")))</f>
        <v>Aa-Tol.</v>
      </c>
      <c r="R3" s="440"/>
      <c r="S3" s="440" t="str">
        <f>IF(Info!H8&gt;2.5,"Asne-Line",IF(Info!H8&gt;1.5,"Asne-Reihe",IF(Info!H8&gt;0.5,"Asne-Tol.","")))</f>
        <v>Asne-Tol.</v>
      </c>
      <c r="T3" s="440"/>
      <c r="U3" s="441" t="str">
        <f>IF(Info!H8&gt;2.5,"Tsn-Line",IF(Info!H8&gt;1.5,"Tsn-Reihe",IF(Info!H8&gt;0.5,"Tsn-Tol.","")))</f>
        <v>Tsn-Tol.</v>
      </c>
      <c r="V3" s="442"/>
    </row>
    <row r="4" spans="5:22" ht="15" customHeight="1">
      <c r="E4" s="446"/>
      <c r="F4" s="63" t="s">
        <v>18</v>
      </c>
      <c r="G4" s="34" t="s">
        <v>19</v>
      </c>
      <c r="H4" s="34" t="s">
        <v>20</v>
      </c>
      <c r="I4" s="34" t="s">
        <v>21</v>
      </c>
      <c r="J4" s="34" t="s">
        <v>22</v>
      </c>
      <c r="K4" s="35" t="s">
        <v>23</v>
      </c>
      <c r="M4" s="449" t="str">
        <f>'1.0'!D35</f>
        <v>Takımtezgahı</v>
      </c>
      <c r="N4" s="450"/>
      <c r="O4" s="450"/>
      <c r="P4" s="451"/>
      <c r="Q4" s="423">
        <v>6</v>
      </c>
      <c r="R4" s="424"/>
      <c r="S4" s="447" t="s">
        <v>12</v>
      </c>
      <c r="T4" s="448"/>
      <c r="U4" s="447">
        <v>24</v>
      </c>
      <c r="V4" s="452"/>
    </row>
    <row r="5" spans="5:11" ht="15" customHeight="1">
      <c r="E5" s="295">
        <f>IF(AND(I17&lt;18.05,I17&gt;10),"==&gt;","")</f>
      </c>
      <c r="F5" s="64" t="s">
        <v>25</v>
      </c>
      <c r="G5" s="65">
        <v>4</v>
      </c>
      <c r="H5" s="65">
        <v>5.5</v>
      </c>
      <c r="I5" s="65">
        <v>9</v>
      </c>
      <c r="J5" s="65">
        <v>13</v>
      </c>
      <c r="K5" s="66">
        <v>21</v>
      </c>
    </row>
    <row r="6" spans="5:11" ht="15" customHeight="1">
      <c r="E6" s="295">
        <f>IF(AND(I17&lt;30.05,I17&gt;18),"==&gt;","")</f>
      </c>
      <c r="F6" s="37" t="s">
        <v>2</v>
      </c>
      <c r="G6" s="38">
        <v>4.5</v>
      </c>
      <c r="H6" s="38">
        <v>6.5</v>
      </c>
      <c r="I6" s="38">
        <v>10</v>
      </c>
      <c r="J6" s="38">
        <v>16</v>
      </c>
      <c r="K6" s="39">
        <v>26</v>
      </c>
    </row>
    <row r="7" spans="5:22" ht="15" customHeight="1">
      <c r="E7" s="295">
        <f>IF(AND(I17&lt;50.05,I17&gt;30),"==&gt;","")</f>
      </c>
      <c r="F7" s="64" t="s">
        <v>1</v>
      </c>
      <c r="G7" s="65">
        <v>5.5</v>
      </c>
      <c r="H7" s="65">
        <v>8</v>
      </c>
      <c r="I7" s="65">
        <v>12</v>
      </c>
      <c r="J7" s="65">
        <v>19</v>
      </c>
      <c r="K7" s="66">
        <v>31</v>
      </c>
      <c r="M7" s="11" t="str">
        <f>IF(Info!H8&gt;2.5,"Selection criteria after Seifert of the tolerances for center distance and of pitches",IF(Info!H8&gt;1.5,"Auswahlkriterien der Toleranzen für Achsabstand und Zahnweiten nach Seifert",IF(Info!H8&gt;0.5,"Seifert e göre Tolerans seçim kılavuzu","")))</f>
        <v>Seifert e göre Tolerans seçim kılavuzu</v>
      </c>
      <c r="N7" s="17"/>
      <c r="P7" s="17"/>
      <c r="V7" s="17"/>
    </row>
    <row r="8" spans="5:22" ht="15" customHeight="1">
      <c r="E8" s="295">
        <f>IF(AND(I17&lt;80.05,I17&gt;50),"==&gt;","")</f>
      </c>
      <c r="F8" s="37" t="s">
        <v>27</v>
      </c>
      <c r="G8" s="38">
        <v>6.5</v>
      </c>
      <c r="H8" s="38">
        <v>9.5</v>
      </c>
      <c r="I8" s="38">
        <v>15</v>
      </c>
      <c r="J8" s="38">
        <v>23</v>
      </c>
      <c r="K8" s="39">
        <v>37</v>
      </c>
      <c r="M8" s="18" t="str">
        <f>M3</f>
        <v>Kullanıldığı yer</v>
      </c>
      <c r="N8" s="19"/>
      <c r="O8" s="296"/>
      <c r="P8" s="19"/>
      <c r="Q8" s="425" t="str">
        <f>IF(Info!H8&gt;2.5,"Aa-Line",IF(Info!H8&gt;1.5,"Aa-Reihe",IF(Info!H8&gt;0.5,"Aa-Tol.","")))</f>
        <v>Aa-Tol.</v>
      </c>
      <c r="R8" s="427"/>
      <c r="S8" s="425" t="str">
        <f>IF(Info!H8&gt;2.5,"Asne-Line",IF(Info!H8&gt;1.5,"Asne-Reihe",IF(Info!H8&gt;0.5,"Asne-Tol.","")))</f>
        <v>Asne-Tol.</v>
      </c>
      <c r="T8" s="427"/>
      <c r="U8" s="425" t="str">
        <f>IF(Info!H8&gt;2.5,"Tsn-Line",IF(Info!H8&gt;1.5,"Tsn-Reihe",IF(Info!H8&gt;0.5,"Tsn-Tol.","")))</f>
        <v>Tsn-Tol.</v>
      </c>
      <c r="V8" s="426"/>
    </row>
    <row r="9" spans="5:22" ht="15" customHeight="1">
      <c r="E9" s="295">
        <f>IF(AND(I17&lt;120.05,I17&gt;80),"==&gt;","")</f>
      </c>
      <c r="F9" s="64" t="s">
        <v>28</v>
      </c>
      <c r="G9" s="65">
        <v>7.5</v>
      </c>
      <c r="H9" s="65">
        <v>11</v>
      </c>
      <c r="I9" s="65">
        <v>17</v>
      </c>
      <c r="J9" s="65">
        <v>27</v>
      </c>
      <c r="K9" s="66">
        <v>43</v>
      </c>
      <c r="M9" s="33" t="str">
        <f>IF(Info!H8&gt;2.5,"General machine building",IF(Info!H8&gt;1.5,"Allgemeiner Maschinenbau",IF(Info!H8&gt;0.5,"Genel makina tahrikleri","")))</f>
        <v>Genel makina tahrikleri</v>
      </c>
      <c r="N9" s="48"/>
      <c r="O9" s="297"/>
      <c r="P9" s="48"/>
      <c r="Q9" s="432" t="s">
        <v>8</v>
      </c>
      <c r="R9" s="433"/>
      <c r="S9" s="432">
        <v>26</v>
      </c>
      <c r="T9" s="433"/>
      <c r="U9" s="432" t="s">
        <v>9</v>
      </c>
      <c r="V9" s="454"/>
    </row>
    <row r="10" spans="5:22" ht="15" customHeight="1">
      <c r="E10" s="295">
        <f>IF(AND(I17&lt;180.05,I17&gt;120),"==&gt;","")</f>
      </c>
      <c r="F10" s="37" t="s">
        <v>29</v>
      </c>
      <c r="G10" s="38">
        <v>9</v>
      </c>
      <c r="H10" s="38">
        <v>12</v>
      </c>
      <c r="I10" s="38">
        <v>20</v>
      </c>
      <c r="J10" s="38">
        <v>31</v>
      </c>
      <c r="K10" s="39">
        <v>50</v>
      </c>
      <c r="M10" s="62" t="str">
        <f>IF(Info!H8&gt;2.5,"reversible, Pairs of scissors, traversing gears",IF(Info!H8&gt;1.5,"dsgl. reversierend, Scheren, Fahrw.",IF(Info!H8&gt;0.5,"Makas tahrikleri, Yürüyüş tahrikleri","")))</f>
        <v>Makas tahrikleri, Yürüyüş tahrikleri</v>
      </c>
      <c r="N10" s="49"/>
      <c r="O10" s="298"/>
      <c r="P10" s="49"/>
      <c r="Q10" s="430" t="s">
        <v>10</v>
      </c>
      <c r="R10" s="431"/>
      <c r="S10" s="430">
        <v>25</v>
      </c>
      <c r="T10" s="431"/>
      <c r="U10" s="430" t="s">
        <v>11</v>
      </c>
      <c r="V10" s="453"/>
    </row>
    <row r="11" spans="5:22" ht="15" customHeight="1">
      <c r="E11" s="295">
        <f>IF(AND(I17&lt;250.05,I17&gt;180),"==&gt;","")</f>
      </c>
      <c r="F11" s="64" t="s">
        <v>30</v>
      </c>
      <c r="G11" s="65">
        <v>10</v>
      </c>
      <c r="H11" s="65">
        <v>14.5</v>
      </c>
      <c r="I11" s="65">
        <v>23</v>
      </c>
      <c r="J11" s="65">
        <v>36</v>
      </c>
      <c r="K11" s="66">
        <v>57</v>
      </c>
      <c r="M11" s="33" t="str">
        <f>IF(Info!H8&gt;2.5,"Machine tools",IF(Info!H8&gt;1.5,"Werkzeugmaschinen",IF(Info!H8&gt;0.5,"Takım ve imalat makinaları","")))</f>
        <v>Takım ve imalat makinaları</v>
      </c>
      <c r="N11" s="48"/>
      <c r="O11" s="297"/>
      <c r="P11" s="48"/>
      <c r="Q11" s="432" t="s">
        <v>12</v>
      </c>
      <c r="R11" s="433"/>
      <c r="S11" s="432" t="s">
        <v>13</v>
      </c>
      <c r="T11" s="433"/>
      <c r="U11" s="432" t="s">
        <v>11</v>
      </c>
      <c r="V11" s="454"/>
    </row>
    <row r="12" spans="5:25" ht="13.5" customHeight="1">
      <c r="E12" s="295" t="str">
        <f>IF(AND(I17&lt;315.05,I17&gt;250),"==&gt;","")</f>
        <v>==&gt;</v>
      </c>
      <c r="F12" s="37" t="s">
        <v>31</v>
      </c>
      <c r="G12" s="38">
        <v>11</v>
      </c>
      <c r="H12" s="38">
        <v>16</v>
      </c>
      <c r="I12" s="38">
        <v>26</v>
      </c>
      <c r="J12" s="38">
        <v>40</v>
      </c>
      <c r="K12" s="39">
        <v>65</v>
      </c>
      <c r="L12" s="6"/>
      <c r="M12" s="36" t="str">
        <f>IF(Info!H8&gt;2.5,"Agricultural machinery",IF(Info!H8&gt;1.5,"Landmaschinen",IF(Info!H8&gt;0.5,"Arazi ve Ziraat makinaları","")))</f>
        <v>Arazi ve Ziraat makinaları</v>
      </c>
      <c r="N12" s="49"/>
      <c r="O12" s="49"/>
      <c r="P12" s="49"/>
      <c r="Q12" s="430" t="s">
        <v>15</v>
      </c>
      <c r="R12" s="431"/>
      <c r="S12" s="430" t="s">
        <v>16</v>
      </c>
      <c r="T12" s="431"/>
      <c r="U12" s="430" t="s">
        <v>17</v>
      </c>
      <c r="V12" s="453"/>
      <c r="W12" s="6"/>
      <c r="X12" s="6"/>
      <c r="Y12" s="6"/>
    </row>
    <row r="13" spans="5:22" ht="13.5" customHeight="1">
      <c r="E13" s="295">
        <f>IF(AND(I17&lt;400.05,I17&gt;315),"==&gt;","")</f>
      </c>
      <c r="F13" s="64" t="s">
        <v>32</v>
      </c>
      <c r="G13" s="65">
        <v>12</v>
      </c>
      <c r="H13" s="65">
        <v>18</v>
      </c>
      <c r="I13" s="65">
        <v>28</v>
      </c>
      <c r="J13" s="65">
        <v>44</v>
      </c>
      <c r="K13" s="66">
        <v>70</v>
      </c>
      <c r="M13" s="33" t="str">
        <f>IF(Info!H8&gt;2.5,"Motor vehicles",IF(Info!H8&gt;1.5,"Kraftfahrzeuge",IF(Info!H8&gt;0.5,"Kamyon ve İş makinaları","")))</f>
        <v>Kamyon ve İş makinaları</v>
      </c>
      <c r="N13" s="48"/>
      <c r="O13" s="48"/>
      <c r="P13" s="48"/>
      <c r="Q13" s="432" t="s">
        <v>24</v>
      </c>
      <c r="R13" s="433"/>
      <c r="S13" s="432">
        <v>26</v>
      </c>
      <c r="T13" s="433"/>
      <c r="U13" s="432" t="s">
        <v>9</v>
      </c>
      <c r="V13" s="454"/>
    </row>
    <row r="14" spans="5:25" ht="13.5" customHeight="1">
      <c r="E14" s="295">
        <f>IF(AND(I17&lt;500.05,I17&gt;400),"==&gt;","")</f>
      </c>
      <c r="F14" s="71" t="s">
        <v>33</v>
      </c>
      <c r="G14" s="72">
        <v>14</v>
      </c>
      <c r="H14" s="72">
        <v>20</v>
      </c>
      <c r="I14" s="72">
        <v>31</v>
      </c>
      <c r="J14" s="72">
        <v>48</v>
      </c>
      <c r="K14" s="73">
        <v>77</v>
      </c>
      <c r="L14" s="299"/>
      <c r="M14" s="60" t="str">
        <f>IF(Info!H8&gt;2.5,"Plastic machines, locomotive traction",IF(Info!H8&gt;1.5,"Kunststoffmaschinen, Lok-Antriebe",IF(Info!H8&gt;0.5,"Plastik makinaları, Lokomotif tahriki","")))</f>
        <v>Plastik makinaları, Lokomotif tahriki</v>
      </c>
      <c r="N14" s="61"/>
      <c r="O14" s="61"/>
      <c r="P14" s="61"/>
      <c r="Q14" s="428" t="s">
        <v>26</v>
      </c>
      <c r="R14" s="429"/>
      <c r="S14" s="428">
        <v>25</v>
      </c>
      <c r="T14" s="429"/>
      <c r="U14" s="428" t="s">
        <v>9</v>
      </c>
      <c r="V14" s="455"/>
      <c r="W14" s="17"/>
      <c r="X14" s="17"/>
      <c r="Y14" s="17"/>
    </row>
    <row r="15" spans="5:25" ht="13.5" customHeight="1">
      <c r="E15" s="17"/>
      <c r="P15" s="120"/>
      <c r="Q15" s="120"/>
      <c r="R15" s="120"/>
      <c r="S15" s="120"/>
      <c r="T15" s="120"/>
      <c r="U15" s="120"/>
      <c r="V15" s="120"/>
      <c r="X15" s="17"/>
      <c r="Y15" s="17"/>
    </row>
    <row r="16" spans="5:25" ht="13.5" customHeight="1">
      <c r="E16" s="17"/>
      <c r="I16" s="237" t="str">
        <f>'1.0'!D3</f>
        <v>Pinyon</v>
      </c>
      <c r="J16" s="237" t="str">
        <f>'1.0'!E3</f>
        <v>Çark</v>
      </c>
      <c r="P16" s="120"/>
      <c r="Q16" s="120"/>
      <c r="R16" s="120"/>
      <c r="S16" s="120"/>
      <c r="T16" s="120"/>
      <c r="U16" s="120"/>
      <c r="V16" s="120"/>
      <c r="X16" s="17"/>
      <c r="Y16" s="17"/>
    </row>
    <row r="17" spans="6:25" ht="13.5" customHeight="1">
      <c r="F17" s="232"/>
      <c r="G17" s="233" t="str">
        <f>'1.0'!B18</f>
        <v>Eksenler arası mesafe</v>
      </c>
      <c r="H17" s="300"/>
      <c r="I17" s="418">
        <f>'1.0'!D18</f>
        <v>309</v>
      </c>
      <c r="J17" s="419"/>
      <c r="X17" s="17"/>
      <c r="Y17" s="17"/>
    </row>
    <row r="18" spans="6:10" ht="13.5" customHeight="1">
      <c r="F18" s="234"/>
      <c r="G18" s="217" t="s">
        <v>118</v>
      </c>
      <c r="H18" s="301"/>
      <c r="I18" s="420">
        <v>0.0145</v>
      </c>
      <c r="J18" s="421"/>
    </row>
    <row r="19" spans="6:10" ht="13.5" customHeight="1">
      <c r="F19" s="234"/>
      <c r="G19" s="217" t="s">
        <v>24</v>
      </c>
      <c r="H19" s="301"/>
      <c r="I19" s="12">
        <f>'1.0'!D9</f>
        <v>102</v>
      </c>
      <c r="J19" s="40">
        <f>'1.0'!E9</f>
        <v>516</v>
      </c>
    </row>
    <row r="20" spans="6:10" ht="13.5" customHeight="1">
      <c r="F20" s="234"/>
      <c r="G20" s="217" t="s">
        <v>119</v>
      </c>
      <c r="H20" s="301"/>
      <c r="I20" s="41">
        <v>19</v>
      </c>
      <c r="J20" s="42">
        <v>35</v>
      </c>
    </row>
    <row r="21" spans="6:10" ht="13.5" customHeight="1">
      <c r="F21" s="234"/>
      <c r="G21" s="217" t="s">
        <v>120</v>
      </c>
      <c r="H21" s="301"/>
      <c r="I21" s="54">
        <v>25</v>
      </c>
      <c r="J21" s="55">
        <v>40</v>
      </c>
    </row>
    <row r="22" spans="6:10" ht="13.5" customHeight="1">
      <c r="F22" s="234"/>
      <c r="G22" s="217" t="s">
        <v>110</v>
      </c>
      <c r="H22" s="301"/>
      <c r="I22" s="86">
        <f>I20*COS('1.0'!D6*PI()/180)/(-10^3)</f>
        <v>-0.01785415979493226</v>
      </c>
      <c r="J22" s="43">
        <f>J20*COS('1.0'!D6*PI()/180)/(-10^3)</f>
        <v>-0.03288924172750679</v>
      </c>
    </row>
    <row r="23" spans="6:10" ht="13.5" customHeight="1">
      <c r="F23" s="235"/>
      <c r="G23" s="236" t="s">
        <v>111</v>
      </c>
      <c r="H23" s="302"/>
      <c r="I23" s="87">
        <f>(I20+I21)*COS('1.0'!D6*PI()/180)/(-10^3)</f>
        <v>-0.04134647531457997</v>
      </c>
      <c r="J23" s="44">
        <f>(J20+J21)*COS('1.0'!D6*PI()/180)/(-10^3)</f>
        <v>-0.07047694655894313</v>
      </c>
    </row>
    <row r="24" spans="5:25" ht="13.5" customHeight="1">
      <c r="E24" s="17"/>
      <c r="F24" s="9" t="str">
        <f>IF(Info!H8&gt;2.5,"Upper teething fat person limit Asne in µ m according to DIN 3967 (excerpt)",IF(Info!H8&gt;1.5,"Obere Zahndickenabmass  Asne in µm nach DIN 3967 (Auszug)",IF(Info!H8&gt;0.5,"Dişkalınlığı üst tolerans mesafesi Asne [µm] DIN 3967 ye göre","")))</f>
        <v>Dişkalınlığı üst tolerans mesafesi Asne [µm] DIN 3967 ye göre</v>
      </c>
      <c r="G24" s="17"/>
      <c r="H24" s="17"/>
      <c r="I24" s="17"/>
      <c r="J24" s="17"/>
      <c r="K24" s="17"/>
      <c r="U24" s="17"/>
      <c r="Y24" s="17"/>
    </row>
    <row r="25" spans="5:25" ht="13.5" customHeight="1">
      <c r="E25" s="434" t="s">
        <v>123</v>
      </c>
      <c r="F25" s="435" t="str">
        <f>'1.0'!B9</f>
        <v>Taksimat dairesi</v>
      </c>
      <c r="G25" s="293">
        <f>IF(S4="a","XXXXXX","")</f>
      </c>
      <c r="H25" s="293">
        <f>IF(S4="ab","XXXXXX","")</f>
      </c>
      <c r="I25" s="293">
        <f>IF(S4="b","XXXXXX","")</f>
      </c>
      <c r="J25" s="293">
        <f>IF(S4="bc","XXXXXX","")</f>
      </c>
      <c r="K25" s="293">
        <f>IF(S4="c","XXXXXX","")</f>
      </c>
      <c r="L25" s="293">
        <f>IF(S4="cd","XXXXXX","")</f>
      </c>
      <c r="M25" s="293">
        <f>IF(S4="d","XXXXXX","")</f>
      </c>
      <c r="N25" s="293">
        <f>IF(S4="e","XXXXXX","")</f>
      </c>
      <c r="O25" s="294" t="str">
        <f>IF(S4="f","XXXXXX","")</f>
        <v>XXXXXX</v>
      </c>
      <c r="Q25" s="422" t="s">
        <v>124</v>
      </c>
      <c r="X25" s="17"/>
      <c r="Y25" s="17"/>
    </row>
    <row r="26" spans="5:26" ht="13.5" customHeight="1">
      <c r="E26" s="434"/>
      <c r="F26" s="436"/>
      <c r="G26" s="34" t="s">
        <v>14</v>
      </c>
      <c r="H26" s="34" t="s">
        <v>34</v>
      </c>
      <c r="I26" s="34" t="s">
        <v>8</v>
      </c>
      <c r="J26" s="34" t="s">
        <v>35</v>
      </c>
      <c r="K26" s="56" t="s">
        <v>10</v>
      </c>
      <c r="L26" s="56" t="s">
        <v>36</v>
      </c>
      <c r="M26" s="56" t="s">
        <v>24</v>
      </c>
      <c r="N26" s="56" t="s">
        <v>15</v>
      </c>
      <c r="O26" s="74" t="s">
        <v>12</v>
      </c>
      <c r="Q26" s="422"/>
      <c r="X26" s="17"/>
      <c r="Y26" s="17"/>
      <c r="Z26" s="3"/>
    </row>
    <row r="27" spans="5:26" ht="13.5" customHeight="1">
      <c r="E27" s="303">
        <f>IF($I$19&lt;10,"==&gt;","")</f>
      </c>
      <c r="F27" s="67" t="s">
        <v>37</v>
      </c>
      <c r="G27" s="68">
        <v>-100</v>
      </c>
      <c r="H27" s="68">
        <v>-85</v>
      </c>
      <c r="I27" s="68">
        <v>-70</v>
      </c>
      <c r="J27" s="68">
        <v>-58</v>
      </c>
      <c r="K27" s="69">
        <v>-48</v>
      </c>
      <c r="L27" s="69">
        <v>-40</v>
      </c>
      <c r="M27" s="69">
        <v>-33</v>
      </c>
      <c r="N27" s="69">
        <v>-22</v>
      </c>
      <c r="O27" s="70">
        <v>-10</v>
      </c>
      <c r="Q27" s="304">
        <f>IF($J$19&lt;10,"&lt;==","")</f>
      </c>
      <c r="Y27" s="17"/>
      <c r="Z27" s="3"/>
    </row>
    <row r="28" spans="5:17" ht="13.5" customHeight="1">
      <c r="E28" s="303">
        <f>IF(AND($I$19&lt;50.05,$I$19&gt;10),"==&gt;","")</f>
      </c>
      <c r="F28" s="37" t="s">
        <v>38</v>
      </c>
      <c r="G28" s="45">
        <v>-135</v>
      </c>
      <c r="H28" s="45">
        <v>-110</v>
      </c>
      <c r="I28" s="45">
        <v>-95</v>
      </c>
      <c r="J28" s="45">
        <v>-75</v>
      </c>
      <c r="K28" s="57">
        <v>-65</v>
      </c>
      <c r="L28" s="57">
        <v>-54</v>
      </c>
      <c r="M28" s="57">
        <v>-44</v>
      </c>
      <c r="N28" s="57">
        <v>-30</v>
      </c>
      <c r="O28" s="58">
        <v>-14</v>
      </c>
      <c r="Q28" s="304">
        <f>IF(AND($J$19&lt;50.05,$J$19&gt;10),"&lt;==","")</f>
      </c>
    </row>
    <row r="29" spans="5:26" ht="13.5" customHeight="1">
      <c r="E29" s="303" t="str">
        <f>IF(AND($I$19&lt;125.05,$I$19&gt;50),"==&gt;","")</f>
        <v>==&gt;</v>
      </c>
      <c r="F29" s="64" t="s">
        <v>39</v>
      </c>
      <c r="G29" s="68">
        <v>-180</v>
      </c>
      <c r="H29" s="68">
        <v>-150</v>
      </c>
      <c r="I29" s="68">
        <v>-125</v>
      </c>
      <c r="J29" s="68">
        <v>-105</v>
      </c>
      <c r="K29" s="69">
        <v>-85</v>
      </c>
      <c r="L29" s="69">
        <v>-70</v>
      </c>
      <c r="M29" s="69">
        <v>-60</v>
      </c>
      <c r="N29" s="69">
        <v>-40</v>
      </c>
      <c r="O29" s="70">
        <v>-19</v>
      </c>
      <c r="Q29" s="304">
        <f>IF(AND($J$19&lt;125.05,$J$19&gt;50),"&lt;==","")</f>
      </c>
      <c r="Y29" s="17"/>
      <c r="Z29" s="3"/>
    </row>
    <row r="30" spans="5:26" ht="13.5" customHeight="1">
      <c r="E30" s="303">
        <f>IF(AND($I$19&lt;280.05,$I$19&gt;125),"==&gt;","")</f>
      </c>
      <c r="F30" s="37" t="s">
        <v>40</v>
      </c>
      <c r="G30" s="45">
        <v>-250</v>
      </c>
      <c r="H30" s="45">
        <v>-200</v>
      </c>
      <c r="I30" s="45">
        <v>-170</v>
      </c>
      <c r="J30" s="45">
        <v>-140</v>
      </c>
      <c r="K30" s="57">
        <v>-115</v>
      </c>
      <c r="L30" s="57">
        <v>-95</v>
      </c>
      <c r="M30" s="57">
        <v>-80</v>
      </c>
      <c r="N30" s="57">
        <v>-56</v>
      </c>
      <c r="O30" s="58">
        <v>-26</v>
      </c>
      <c r="Q30" s="304">
        <f>IF(AND($J$19&lt;280.05,$J$19&gt;125),"&lt;==","")</f>
      </c>
      <c r="Y30" s="17"/>
      <c r="Z30" s="3"/>
    </row>
    <row r="31" spans="5:26" ht="13.5" customHeight="1">
      <c r="E31" s="303">
        <f>IF(AND($I$19&lt;560.05,$I$19&gt;280),"==&gt;","")</f>
      </c>
      <c r="F31" s="64" t="s">
        <v>41</v>
      </c>
      <c r="G31" s="68">
        <v>-330</v>
      </c>
      <c r="H31" s="68">
        <v>-280</v>
      </c>
      <c r="I31" s="68">
        <v>-230</v>
      </c>
      <c r="J31" s="68">
        <v>-190</v>
      </c>
      <c r="K31" s="69">
        <v>-155</v>
      </c>
      <c r="L31" s="69">
        <v>-130</v>
      </c>
      <c r="M31" s="69">
        <v>-110</v>
      </c>
      <c r="N31" s="69">
        <v>-75</v>
      </c>
      <c r="O31" s="70">
        <v>-35</v>
      </c>
      <c r="Q31" s="304" t="str">
        <f>IF(AND($J$19&lt;560.05,$J$19&gt;280),"&lt;==","")</f>
        <v>&lt;==</v>
      </c>
      <c r="Y31" s="17"/>
      <c r="Z31" s="3"/>
    </row>
    <row r="32" spans="5:26" ht="13.5" customHeight="1">
      <c r="E32" s="303">
        <f>IF(AND($I$19&lt;1000.05,$I$19&gt;560),"==&gt;","")</f>
      </c>
      <c r="F32" s="71" t="s">
        <v>42</v>
      </c>
      <c r="G32" s="75">
        <v>-450</v>
      </c>
      <c r="H32" s="75">
        <v>-370</v>
      </c>
      <c r="I32" s="75">
        <v>-310</v>
      </c>
      <c r="J32" s="75">
        <v>-260</v>
      </c>
      <c r="K32" s="76">
        <v>-210</v>
      </c>
      <c r="L32" s="76">
        <v>-175</v>
      </c>
      <c r="M32" s="76">
        <v>-145</v>
      </c>
      <c r="N32" s="76">
        <v>-100</v>
      </c>
      <c r="O32" s="77">
        <v>-48</v>
      </c>
      <c r="Q32" s="304">
        <f>IF(AND($J$19&lt;1000.05,$J$19&gt;560),"&lt;==","")</f>
      </c>
      <c r="Y32" s="17"/>
      <c r="Z32" s="3"/>
    </row>
    <row r="33" spans="6:26" ht="13.5" customHeight="1">
      <c r="F33" s="9" t="str">
        <f>IF(Info!H8&gt;2.5,"Teething fat person tolerance TSN in µ m according to DIN 3967 (excerpt)",IF(Info!H8&gt;1.5,"Zahndickentoleranz Tsn in µm nach DIN 3967 (Auszug)",IF(Info!H8&gt;0.5,"Dişkalınlığı tolerans genişliği Tsn [µm] DIN 3967 ye göre","")))</f>
        <v>Dişkalınlığı tolerans genişliği Tsn [µm] DIN 3967 ye göre</v>
      </c>
      <c r="G33" s="17"/>
      <c r="H33" s="17"/>
      <c r="I33" s="17"/>
      <c r="J33" s="17"/>
      <c r="K33" s="50"/>
      <c r="L33" s="50"/>
      <c r="M33" s="50"/>
      <c r="N33" s="50"/>
      <c r="O33" s="50"/>
      <c r="Q33" s="305"/>
      <c r="Z33" s="3"/>
    </row>
    <row r="34" spans="5:26" ht="13.5" customHeight="1">
      <c r="E34" s="434" t="s">
        <v>123</v>
      </c>
      <c r="F34" s="437" t="str">
        <f>F25</f>
        <v>Taksimat dairesi</v>
      </c>
      <c r="G34" s="293">
        <f>IF(U4=21,"XXXXXX","")</f>
      </c>
      <c r="H34" s="293">
        <f>IF(U4=22,"XXXXXX","")</f>
      </c>
      <c r="I34" s="293">
        <f>IF(U4=23,"XXXXXX","")</f>
      </c>
      <c r="J34" s="293" t="str">
        <f>IF(U4=24,"XXXXXX","")</f>
        <v>XXXXXX</v>
      </c>
      <c r="K34" s="293">
        <f>IF(U4=25,"XXXXXX","")</f>
      </c>
      <c r="L34" s="293">
        <f>IF(U4=26,"XXXXXX","")</f>
      </c>
      <c r="M34" s="293">
        <f>IF(U4=27,"XXXXXX","")</f>
      </c>
      <c r="N34" s="293">
        <f>IF(U4=28,"XXXXXX","")</f>
      </c>
      <c r="O34" s="294">
        <f>IF(U4=29,"XXXXXX","")</f>
      </c>
      <c r="Q34" s="422" t="s">
        <v>124</v>
      </c>
      <c r="Y34" s="17"/>
      <c r="Z34" s="3"/>
    </row>
    <row r="35" spans="5:26" ht="13.5" customHeight="1">
      <c r="E35" s="434"/>
      <c r="F35" s="438"/>
      <c r="G35" s="78">
        <v>21</v>
      </c>
      <c r="H35" s="78">
        <v>22</v>
      </c>
      <c r="I35" s="78">
        <v>23</v>
      </c>
      <c r="J35" s="78">
        <v>24</v>
      </c>
      <c r="K35" s="79">
        <v>25</v>
      </c>
      <c r="L35" s="79">
        <v>26</v>
      </c>
      <c r="M35" s="79">
        <v>27</v>
      </c>
      <c r="N35" s="79">
        <v>28</v>
      </c>
      <c r="O35" s="80">
        <v>29</v>
      </c>
      <c r="Q35" s="422"/>
      <c r="V35" s="17"/>
      <c r="Y35" s="17"/>
      <c r="Z35" s="3"/>
    </row>
    <row r="36" spans="5:26" ht="13.5" customHeight="1">
      <c r="E36" s="303">
        <f>IF($I$19&lt;10,"==&gt;","")</f>
      </c>
      <c r="F36" s="67" t="s">
        <v>37</v>
      </c>
      <c r="G36" s="68">
        <v>3</v>
      </c>
      <c r="H36" s="68">
        <v>5</v>
      </c>
      <c r="I36" s="68">
        <v>8</v>
      </c>
      <c r="J36" s="68">
        <v>12</v>
      </c>
      <c r="K36" s="69">
        <v>20</v>
      </c>
      <c r="L36" s="69">
        <v>30</v>
      </c>
      <c r="M36" s="69">
        <v>50</v>
      </c>
      <c r="N36" s="69">
        <v>80</v>
      </c>
      <c r="O36" s="70">
        <v>130</v>
      </c>
      <c r="Q36" s="304">
        <f>IF($J$19&lt;10,"&lt;==","")</f>
      </c>
      <c r="V36" s="17"/>
      <c r="W36" s="17"/>
      <c r="X36" s="17"/>
      <c r="Y36" s="17"/>
      <c r="Z36" s="3"/>
    </row>
    <row r="37" spans="5:26" ht="13.5" customHeight="1">
      <c r="E37" s="303">
        <f>IF(AND($I$19&lt;50.05,$I$19&gt;10),"==&gt;","")</f>
      </c>
      <c r="F37" s="37" t="s">
        <v>38</v>
      </c>
      <c r="G37" s="45">
        <v>5</v>
      </c>
      <c r="H37" s="45">
        <v>8</v>
      </c>
      <c r="I37" s="45">
        <v>12</v>
      </c>
      <c r="J37" s="45">
        <v>20</v>
      </c>
      <c r="K37" s="57">
        <v>30</v>
      </c>
      <c r="L37" s="57">
        <v>50</v>
      </c>
      <c r="M37" s="57">
        <v>80</v>
      </c>
      <c r="N37" s="57">
        <v>130</v>
      </c>
      <c r="O37" s="58">
        <v>200</v>
      </c>
      <c r="Q37" s="304">
        <f>IF(AND($J$19&lt;50.05,$J$19&gt;10),"&lt;==","")</f>
      </c>
      <c r="V37" s="17"/>
      <c r="W37" s="17"/>
      <c r="X37" s="17"/>
      <c r="Y37" s="17"/>
      <c r="Z37" s="4"/>
    </row>
    <row r="38" spans="5:26" ht="13.5" customHeight="1">
      <c r="E38" s="303" t="str">
        <f>IF(AND($I$19&lt;125.05,$I$19&gt;50),"==&gt;","")</f>
        <v>==&gt;</v>
      </c>
      <c r="F38" s="64" t="s">
        <v>39</v>
      </c>
      <c r="G38" s="68">
        <v>6</v>
      </c>
      <c r="H38" s="68">
        <v>10</v>
      </c>
      <c r="I38" s="68">
        <v>16</v>
      </c>
      <c r="J38" s="68">
        <v>25</v>
      </c>
      <c r="K38" s="69">
        <v>40</v>
      </c>
      <c r="L38" s="69">
        <v>60</v>
      </c>
      <c r="M38" s="69">
        <v>100</v>
      </c>
      <c r="N38" s="69">
        <v>160</v>
      </c>
      <c r="O38" s="70">
        <v>250</v>
      </c>
      <c r="Q38" s="304">
        <f>IF(AND($J$19&lt;125.05,$J$19&gt;50),"&lt;==","")</f>
      </c>
      <c r="V38" s="17"/>
      <c r="W38" s="17"/>
      <c r="X38" s="17"/>
      <c r="Y38" s="17"/>
      <c r="Z38" s="4"/>
    </row>
    <row r="39" spans="5:26" ht="13.5" customHeight="1">
      <c r="E39" s="303">
        <f>IF(AND($I$19&lt;280.05,$I$19&gt;125),"==&gt;","")</f>
      </c>
      <c r="F39" s="37" t="s">
        <v>40</v>
      </c>
      <c r="G39" s="45">
        <v>8</v>
      </c>
      <c r="H39" s="45">
        <v>12</v>
      </c>
      <c r="I39" s="45">
        <v>20</v>
      </c>
      <c r="J39" s="45">
        <v>30</v>
      </c>
      <c r="K39" s="57">
        <v>50</v>
      </c>
      <c r="L39" s="57">
        <v>80</v>
      </c>
      <c r="M39" s="57">
        <v>130</v>
      </c>
      <c r="N39" s="57">
        <v>200</v>
      </c>
      <c r="O39" s="58">
        <v>300</v>
      </c>
      <c r="Q39" s="304">
        <f>IF(AND($J$19&lt;280.05,$J$19&gt;125),"&lt;==","")</f>
      </c>
      <c r="V39" s="17"/>
      <c r="W39" s="17"/>
      <c r="X39" s="17"/>
      <c r="Y39" s="17"/>
      <c r="Z39" s="4"/>
    </row>
    <row r="40" spans="5:26" ht="12.75" customHeight="1">
      <c r="E40" s="303">
        <f>IF(AND($I$19&lt;560.05,$I$19&gt;280),"==&gt;","")</f>
      </c>
      <c r="F40" s="64" t="s">
        <v>41</v>
      </c>
      <c r="G40" s="68">
        <v>10</v>
      </c>
      <c r="H40" s="68">
        <v>16</v>
      </c>
      <c r="I40" s="68">
        <v>25</v>
      </c>
      <c r="J40" s="68">
        <v>40</v>
      </c>
      <c r="K40" s="69">
        <v>60</v>
      </c>
      <c r="L40" s="69">
        <v>100</v>
      </c>
      <c r="M40" s="69">
        <v>160</v>
      </c>
      <c r="N40" s="69">
        <v>250</v>
      </c>
      <c r="O40" s="70">
        <v>400</v>
      </c>
      <c r="Q40" s="304" t="str">
        <f>IF(AND($J$19&lt;560.05,$J$19&gt;280),"&lt;==","")</f>
        <v>&lt;==</v>
      </c>
      <c r="V40" s="16"/>
      <c r="W40" s="16"/>
      <c r="X40" s="16"/>
      <c r="Y40" s="16"/>
      <c r="Z40" s="4"/>
    </row>
    <row r="41" spans="5:25" ht="12.75" customHeight="1">
      <c r="E41" s="303">
        <f>IF(AND($I$19&lt;1000.05,$I$19&gt;560),"==&gt;","")</f>
      </c>
      <c r="F41" s="71" t="s">
        <v>42</v>
      </c>
      <c r="G41" s="75">
        <v>12</v>
      </c>
      <c r="H41" s="75">
        <v>20</v>
      </c>
      <c r="I41" s="75">
        <v>30</v>
      </c>
      <c r="J41" s="75">
        <v>50</v>
      </c>
      <c r="K41" s="76">
        <v>80</v>
      </c>
      <c r="L41" s="76">
        <v>130</v>
      </c>
      <c r="M41" s="76">
        <v>200</v>
      </c>
      <c r="N41" s="76">
        <v>300</v>
      </c>
      <c r="O41" s="77">
        <v>500</v>
      </c>
      <c r="Q41" s="304">
        <f>IF(AND($J$19&lt;1000.05,$J$19&gt;560),"&lt;==","")</f>
      </c>
      <c r="V41" s="16"/>
      <c r="W41" s="16"/>
      <c r="X41" s="16"/>
      <c r="Y41" s="16"/>
    </row>
    <row r="42" spans="5:25" ht="12.75" customHeight="1">
      <c r="E42" s="306">
        <f>IF(AND($S$24&lt;1000.05,$S$24&gt;560),"==&gt;","")</f>
      </c>
      <c r="F42" s="16"/>
      <c r="G42" s="16"/>
      <c r="H42" s="16"/>
      <c r="I42" s="16"/>
      <c r="J42" s="16"/>
      <c r="K42" s="59"/>
      <c r="L42" s="59"/>
      <c r="M42" s="59"/>
      <c r="N42" s="59"/>
      <c r="O42" s="59"/>
      <c r="U42" s="16"/>
      <c r="V42" s="16"/>
      <c r="W42" s="16"/>
      <c r="X42" s="16"/>
      <c r="Y42" s="16"/>
    </row>
    <row r="43" ht="12.75" customHeight="1"/>
    <row r="44" ht="12.75" customHeight="1"/>
    <row r="45" ht="12.75" customHeight="1"/>
    <row r="47" ht="12.75" customHeight="1"/>
    <row r="48" ht="12.75" customHeight="1"/>
  </sheetData>
  <sheetProtection password="EF77" sheet="1" objects="1" scenarios="1"/>
  <mergeCells count="40">
    <mergeCell ref="S9:T9"/>
    <mergeCell ref="Q13:R13"/>
    <mergeCell ref="Q9:R9"/>
    <mergeCell ref="Q10:R10"/>
    <mergeCell ref="Q11:R11"/>
    <mergeCell ref="Q12:R12"/>
    <mergeCell ref="S10:T10"/>
    <mergeCell ref="S11:T11"/>
    <mergeCell ref="U12:V12"/>
    <mergeCell ref="U13:V13"/>
    <mergeCell ref="U14:V14"/>
    <mergeCell ref="U9:V9"/>
    <mergeCell ref="U10:V10"/>
    <mergeCell ref="U11:V11"/>
    <mergeCell ref="B1:D1"/>
    <mergeCell ref="Q3:R3"/>
    <mergeCell ref="S3:T3"/>
    <mergeCell ref="U3:V3"/>
    <mergeCell ref="M3:P3"/>
    <mergeCell ref="E1:G1"/>
    <mergeCell ref="E3:E4"/>
    <mergeCell ref="S4:T4"/>
    <mergeCell ref="M4:P4"/>
    <mergeCell ref="U4:V4"/>
    <mergeCell ref="E34:E35"/>
    <mergeCell ref="F25:F26"/>
    <mergeCell ref="F34:F35"/>
    <mergeCell ref="E25:E26"/>
    <mergeCell ref="S14:T14"/>
    <mergeCell ref="Q14:R14"/>
    <mergeCell ref="S12:T12"/>
    <mergeCell ref="S13:T13"/>
    <mergeCell ref="Q4:R4"/>
    <mergeCell ref="U8:V8"/>
    <mergeCell ref="S8:T8"/>
    <mergeCell ref="Q8:R8"/>
    <mergeCell ref="I17:J17"/>
    <mergeCell ref="I18:J18"/>
    <mergeCell ref="Q34:Q35"/>
    <mergeCell ref="Q25:Q26"/>
  </mergeCell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3" r:id="rId3"/>
  <headerFooter alignWithMargins="0">
    <oddFooter>&amp;L&amp;F / &amp;A / &amp;D&amp;RSeite &amp;P von &amp;N</oddFooter>
  </headerFooter>
  <legacyDrawing r:id="rId2"/>
  <oleObjects>
    <oleObject progId="AutoCAD.Drawing.15" shapeId="150314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Kutay M.G.</dc:creator>
  <cp:keywords/>
  <dc:description/>
  <cp:lastModifiedBy>Guven</cp:lastModifiedBy>
  <cp:lastPrinted>2014-04-03T16:19:58Z</cp:lastPrinted>
  <dcterms:created xsi:type="dcterms:W3CDTF">1998-11-18T13:22:42Z</dcterms:created>
  <dcterms:modified xsi:type="dcterms:W3CDTF">2014-04-04T12:49:24Z</dcterms:modified>
  <cp:category/>
  <cp:version/>
  <cp:contentType/>
  <cp:contentStatus/>
</cp:coreProperties>
</file>