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91" yWindow="0" windowWidth="9630" windowHeight="12510" activeTab="0"/>
  </bookViews>
  <sheets>
    <sheet name="Info" sheetId="1" r:id="rId1"/>
    <sheet name="0" sheetId="2" r:id="rId2"/>
    <sheet name="1" sheetId="3" r:id="rId3"/>
    <sheet name="2" sheetId="4" r:id="rId4"/>
    <sheet name="3" sheetId="5" r:id="rId5"/>
  </sheets>
  <definedNames/>
  <calcPr fullCalcOnLoad="1" iterate="1" iterateCount="100" iterateDelta="0.001"/>
</workbook>
</file>

<file path=xl/sharedStrings.xml><?xml version="1.0" encoding="utf-8"?>
<sst xmlns="http://schemas.openxmlformats.org/spreadsheetml/2006/main" count="171" uniqueCount="133">
  <si>
    <t>30 - 50</t>
  </si>
  <si>
    <t>18 - 30</t>
  </si>
  <si>
    <t xml:space="preserve"> </t>
  </si>
  <si>
    <t xml:space="preserve">a        </t>
  </si>
  <si>
    <t>b</t>
  </si>
  <si>
    <t>js 7</t>
  </si>
  <si>
    <t>c</t>
  </si>
  <si>
    <t>js 6</t>
  </si>
  <si>
    <t>f</t>
  </si>
  <si>
    <t>24/25</t>
  </si>
  <si>
    <t>a</t>
  </si>
  <si>
    <t>e</t>
  </si>
  <si>
    <t>27/28</t>
  </si>
  <si>
    <t>js 8</t>
  </si>
  <si>
    <t>in mm</t>
  </si>
  <si>
    <t>js5</t>
  </si>
  <si>
    <t>js6</t>
  </si>
  <si>
    <t>js7</t>
  </si>
  <si>
    <t>js8</t>
  </si>
  <si>
    <t>js9</t>
  </si>
  <si>
    <t>d</t>
  </si>
  <si>
    <t>10 - 18</t>
  </si>
  <si>
    <t>c, cd</t>
  </si>
  <si>
    <t>50 - 80</t>
  </si>
  <si>
    <t>80 - 120</t>
  </si>
  <si>
    <t>120 - 180</t>
  </si>
  <si>
    <t>180 - 250</t>
  </si>
  <si>
    <t>250 - 315</t>
  </si>
  <si>
    <t>315 - 400</t>
  </si>
  <si>
    <t>400 - 500</t>
  </si>
  <si>
    <t>ab</t>
  </si>
  <si>
    <t>bc</t>
  </si>
  <si>
    <t>cd</t>
  </si>
  <si>
    <t>bis 10</t>
  </si>
  <si>
    <t>10 - 50</t>
  </si>
  <si>
    <t>50 - 125</t>
  </si>
  <si>
    <t>125 - 280</t>
  </si>
  <si>
    <t>280 - 560</t>
  </si>
  <si>
    <t>560 - 1000</t>
  </si>
  <si>
    <r>
      <t>z</t>
    </r>
    <r>
      <rPr>
        <vertAlign val="subscript"/>
        <sz val="10"/>
        <rFont val="Arial"/>
        <family val="2"/>
      </rPr>
      <t>1</t>
    </r>
    <r>
      <rPr>
        <sz val="10"/>
        <rFont val="Arial"/>
        <family val="2"/>
      </rPr>
      <t>,z</t>
    </r>
    <r>
      <rPr>
        <vertAlign val="subscript"/>
        <sz val="10"/>
        <rFont val="Arial"/>
        <family val="2"/>
      </rPr>
      <t xml:space="preserve">2 </t>
    </r>
  </si>
  <si>
    <r>
      <t>a</t>
    </r>
    <r>
      <rPr>
        <vertAlign val="subscript"/>
        <sz val="10"/>
        <rFont val="Arial"/>
        <family val="2"/>
      </rPr>
      <t xml:space="preserve">n </t>
    </r>
  </si>
  <si>
    <r>
      <t>b</t>
    </r>
    <r>
      <rPr>
        <vertAlign val="subscript"/>
        <sz val="10"/>
        <rFont val="Arial"/>
        <family val="2"/>
      </rPr>
      <t>1</t>
    </r>
    <r>
      <rPr>
        <sz val="10"/>
        <rFont val="Arial"/>
        <family val="2"/>
      </rPr>
      <t>, b</t>
    </r>
    <r>
      <rPr>
        <vertAlign val="subscript"/>
        <sz val="10"/>
        <rFont val="Arial"/>
        <family val="2"/>
      </rPr>
      <t>2</t>
    </r>
    <r>
      <rPr>
        <sz val="10"/>
        <rFont val="Arial"/>
        <family val="2"/>
      </rPr>
      <t xml:space="preserve"> </t>
    </r>
  </si>
  <si>
    <r>
      <t>W</t>
    </r>
    <r>
      <rPr>
        <vertAlign val="subscript"/>
        <sz val="10"/>
        <rFont val="Arial"/>
        <family val="2"/>
      </rPr>
      <t>k1</t>
    </r>
    <r>
      <rPr>
        <sz val="10"/>
        <rFont val="Arial"/>
        <family val="2"/>
      </rPr>
      <t>,W</t>
    </r>
    <r>
      <rPr>
        <vertAlign val="subscript"/>
        <sz val="10"/>
        <rFont val="Arial"/>
        <family val="2"/>
      </rPr>
      <t xml:space="preserve">k2 </t>
    </r>
  </si>
  <si>
    <t>n</t>
  </si>
  <si>
    <t>TR</t>
  </si>
  <si>
    <t>DE</t>
  </si>
  <si>
    <t>EN</t>
  </si>
  <si>
    <t>Kullanacağınız sayfaya gelince, hesaplamaya başlamadan önce, bütün mavi karelerdeki değerleri siliniz. Böylece dikkatsizlik yanlışı yapma imkanını ortadan kaldırmış olursunuz.</t>
  </si>
  <si>
    <t>Sıra ile mavi karelere yapacağınız hesaba ait değerleri dikkatlice yerleştiriniz. Hesaplamalarınız için gerekli olmayan mavi karelere değerler yerleştirmek yanlış hesap sonuçlarına sebep olabilir. Dikkatli olmak gereklidir.</t>
  </si>
  <si>
    <t>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t>
  </si>
  <si>
    <t>Çoğu mavi karenin çevresinde değerlerin nereden alınması gerektiğini gösteren bilgi bulunmaktadır. Bu gösterilere uyulması hesapların doğruluğu açısından çok önemlidir.</t>
  </si>
  <si>
    <t>Wenn Sie die Berechnungsseite aufschlagen, bitte löschen Sie zuerst alle Werte in den blauen Feldern, damit keine Flüchtigkeitsfehler passieren können.</t>
  </si>
  <si>
    <t>Bitte geben Sie in den blauen Felder die Werte für die Berechnung sorgfältig ein. Wenn Sie ein blaue Feld für Ihre Berechnung nicht brauchen, geben Sie nichts ein (mögliche Fehlerquelle). Bitte passen Sie auf.</t>
  </si>
  <si>
    <t xml:space="preserve">Das Programm berechnet aus den blauen Feldern Berechnungsgrössen. Der Konstrukteur kann jene nach Bedarf und Anforderungen diese gleich annehmen oder entsprechend ändern. </t>
  </si>
  <si>
    <t>In der Umgebung der blauen Felder gibt es Hinweis, wo man die entsprechende Werte entnehmen kann. Es ist für die Sicherheit der Berechnungen sehr wichtig. Die Hinweise müssen befolgt werden.</t>
  </si>
  <si>
    <t>Im Allgemeinen beurteilt das Programm die Resultate unten rechts auf dem Berechnungsblatt. Es werden nur rechnerische Werte verglichen. Das Programm beurteilt die Resultate als zulässig oder unzulässig. Der Konstrukteur muss für beide Fälle nach seinem gesunden Menschenverstand die Resultate nochmals kontrollieren, beurteilen und danach entscheiden. Das Programm ist keine Entscheidungsinstanz, sondern Entscheidungshilfe.</t>
  </si>
  <si>
    <r>
      <t>e</t>
    </r>
    <r>
      <rPr>
        <vertAlign val="subscript"/>
        <sz val="12"/>
        <rFont val="Symbol"/>
        <family val="1"/>
      </rPr>
      <t>a</t>
    </r>
  </si>
  <si>
    <r>
      <t>A</t>
    </r>
    <r>
      <rPr>
        <vertAlign val="subscript"/>
        <sz val="12"/>
        <rFont val="Arial"/>
        <family val="2"/>
      </rPr>
      <t>üWk</t>
    </r>
  </si>
  <si>
    <r>
      <t>A</t>
    </r>
    <r>
      <rPr>
        <vertAlign val="subscript"/>
        <sz val="12"/>
        <rFont val="Arial"/>
        <family val="2"/>
      </rPr>
      <t>aWk</t>
    </r>
  </si>
  <si>
    <r>
      <t>W</t>
    </r>
    <r>
      <rPr>
        <vertAlign val="subscript"/>
        <sz val="12"/>
        <rFont val="Arial"/>
        <family val="2"/>
      </rPr>
      <t>kü</t>
    </r>
  </si>
  <si>
    <r>
      <t>W</t>
    </r>
    <r>
      <rPr>
        <vertAlign val="subscript"/>
        <sz val="12"/>
        <rFont val="Arial"/>
        <family val="2"/>
      </rPr>
      <t>ka</t>
    </r>
  </si>
  <si>
    <r>
      <t>d</t>
    </r>
    <r>
      <rPr>
        <vertAlign val="subscript"/>
        <sz val="12"/>
        <rFont val="Arial"/>
        <family val="2"/>
      </rPr>
      <t>b1</t>
    </r>
    <r>
      <rPr>
        <sz val="10"/>
        <rFont val="Arial"/>
        <family val="2"/>
      </rPr>
      <t>,d</t>
    </r>
    <r>
      <rPr>
        <vertAlign val="subscript"/>
        <sz val="12"/>
        <rFont val="Arial"/>
        <family val="2"/>
      </rPr>
      <t xml:space="preserve">b2 </t>
    </r>
  </si>
  <si>
    <r>
      <t>e</t>
    </r>
    <r>
      <rPr>
        <vertAlign val="subscript"/>
        <sz val="12"/>
        <rFont val="Symbol"/>
        <family val="1"/>
      </rPr>
      <t>b</t>
    </r>
  </si>
  <si>
    <r>
      <t>d</t>
    </r>
    <r>
      <rPr>
        <vertAlign val="subscript"/>
        <sz val="12"/>
        <rFont val="Arial"/>
        <family val="2"/>
      </rPr>
      <t>a1</t>
    </r>
    <r>
      <rPr>
        <sz val="10"/>
        <rFont val="Arial"/>
        <family val="2"/>
      </rPr>
      <t>,d</t>
    </r>
    <r>
      <rPr>
        <vertAlign val="subscript"/>
        <sz val="12"/>
        <rFont val="Arial"/>
        <family val="2"/>
      </rPr>
      <t>a2</t>
    </r>
    <r>
      <rPr>
        <vertAlign val="subscript"/>
        <sz val="10"/>
        <rFont val="Arial"/>
        <family val="2"/>
      </rPr>
      <t xml:space="preserve"> </t>
    </r>
  </si>
  <si>
    <r>
      <t>k</t>
    </r>
    <r>
      <rPr>
        <vertAlign val="subscript"/>
        <sz val="12"/>
        <rFont val="Arial"/>
        <family val="2"/>
      </rPr>
      <t>1</t>
    </r>
    <r>
      <rPr>
        <sz val="10"/>
        <rFont val="Arial"/>
        <family val="2"/>
      </rPr>
      <t>,k</t>
    </r>
    <r>
      <rPr>
        <vertAlign val="subscript"/>
        <sz val="12"/>
        <rFont val="Arial"/>
        <family val="2"/>
      </rPr>
      <t>2</t>
    </r>
  </si>
  <si>
    <r>
      <t>d</t>
    </r>
    <r>
      <rPr>
        <vertAlign val="subscript"/>
        <sz val="12"/>
        <rFont val="Arial"/>
        <family val="2"/>
      </rPr>
      <t>1</t>
    </r>
    <r>
      <rPr>
        <sz val="10"/>
        <rFont val="Arial"/>
        <family val="2"/>
      </rPr>
      <t>, d</t>
    </r>
    <r>
      <rPr>
        <vertAlign val="subscript"/>
        <sz val="12"/>
        <rFont val="Arial"/>
        <family val="2"/>
      </rPr>
      <t xml:space="preserve">2 </t>
    </r>
    <r>
      <rPr>
        <vertAlign val="subscript"/>
        <sz val="10"/>
        <rFont val="Arial"/>
        <family val="2"/>
      </rPr>
      <t xml:space="preserve"> </t>
    </r>
    <r>
      <rPr>
        <sz val="10"/>
        <rFont val="Arial"/>
        <family val="2"/>
      </rPr>
      <t xml:space="preserve">  </t>
    </r>
  </si>
  <si>
    <r>
      <t>x</t>
    </r>
    <r>
      <rPr>
        <vertAlign val="subscript"/>
        <sz val="12"/>
        <rFont val="Arial"/>
        <family val="2"/>
      </rPr>
      <t>1</t>
    </r>
    <r>
      <rPr>
        <sz val="10"/>
        <rFont val="Arial"/>
        <family val="2"/>
      </rPr>
      <t>, x</t>
    </r>
    <r>
      <rPr>
        <vertAlign val="subscript"/>
        <sz val="12"/>
        <rFont val="Arial"/>
        <family val="2"/>
      </rPr>
      <t>2</t>
    </r>
    <r>
      <rPr>
        <sz val="10"/>
        <rFont val="Arial"/>
        <family val="2"/>
      </rPr>
      <t xml:space="preserve"> </t>
    </r>
  </si>
  <si>
    <r>
      <t>z</t>
    </r>
    <r>
      <rPr>
        <vertAlign val="subscript"/>
        <sz val="12"/>
        <rFont val="Arial"/>
        <family val="2"/>
      </rPr>
      <t>n1</t>
    </r>
    <r>
      <rPr>
        <sz val="10"/>
        <rFont val="Arial"/>
        <family val="2"/>
      </rPr>
      <t>, z</t>
    </r>
    <r>
      <rPr>
        <vertAlign val="subscript"/>
        <sz val="12"/>
        <rFont val="Arial"/>
        <family val="2"/>
      </rPr>
      <t xml:space="preserve">n2 </t>
    </r>
  </si>
  <si>
    <r>
      <t>b</t>
    </r>
    <r>
      <rPr>
        <vertAlign val="subscript"/>
        <sz val="12"/>
        <rFont val="Arial"/>
        <family val="2"/>
      </rPr>
      <t>b</t>
    </r>
    <r>
      <rPr>
        <vertAlign val="subscript"/>
        <sz val="10"/>
        <rFont val="Arial"/>
        <family val="2"/>
      </rPr>
      <t xml:space="preserve">   </t>
    </r>
    <r>
      <rPr>
        <sz val="10"/>
        <rFont val="Arial"/>
        <family val="2"/>
      </rPr>
      <t xml:space="preserve">  </t>
    </r>
  </si>
  <si>
    <r>
      <t>k.m</t>
    </r>
    <r>
      <rPr>
        <vertAlign val="subscript"/>
        <sz val="12"/>
        <rFont val="Arial"/>
        <family val="2"/>
      </rPr>
      <t xml:space="preserve">n </t>
    </r>
    <r>
      <rPr>
        <vertAlign val="subscript"/>
        <sz val="10"/>
        <rFont val="Arial"/>
        <family val="2"/>
      </rPr>
      <t xml:space="preserve">  </t>
    </r>
  </si>
  <si>
    <r>
      <t>(x</t>
    </r>
    <r>
      <rPr>
        <vertAlign val="subscript"/>
        <sz val="12"/>
        <rFont val="Arial"/>
        <family val="2"/>
      </rPr>
      <t>1</t>
    </r>
    <r>
      <rPr>
        <sz val="10"/>
        <rFont val="Arial"/>
        <family val="2"/>
      </rPr>
      <t>+x</t>
    </r>
    <r>
      <rPr>
        <vertAlign val="subscript"/>
        <sz val="12"/>
        <rFont val="Arial"/>
        <family val="2"/>
      </rPr>
      <t>2</t>
    </r>
    <r>
      <rPr>
        <sz val="10"/>
        <rFont val="Arial"/>
        <family val="2"/>
      </rPr>
      <t>)</t>
    </r>
  </si>
  <si>
    <r>
      <t xml:space="preserve">inv </t>
    </r>
    <r>
      <rPr>
        <sz val="10"/>
        <rFont val="Symbol"/>
        <family val="1"/>
      </rPr>
      <t>a</t>
    </r>
    <r>
      <rPr>
        <vertAlign val="subscript"/>
        <sz val="12"/>
        <rFont val="Arial"/>
        <family val="2"/>
      </rPr>
      <t>wt</t>
    </r>
  </si>
  <si>
    <r>
      <t xml:space="preserve">inv </t>
    </r>
    <r>
      <rPr>
        <sz val="10"/>
        <rFont val="Symbol"/>
        <family val="1"/>
      </rPr>
      <t>a</t>
    </r>
    <r>
      <rPr>
        <vertAlign val="subscript"/>
        <sz val="12"/>
        <rFont val="Arial"/>
        <family val="2"/>
      </rPr>
      <t>t</t>
    </r>
  </si>
  <si>
    <r>
      <t>a</t>
    </r>
    <r>
      <rPr>
        <vertAlign val="subscript"/>
        <sz val="12"/>
        <rFont val="Arial"/>
        <family val="2"/>
      </rPr>
      <t>wt</t>
    </r>
    <r>
      <rPr>
        <vertAlign val="subscript"/>
        <sz val="10"/>
        <rFont val="Arial"/>
        <family val="2"/>
      </rPr>
      <t xml:space="preserve">    </t>
    </r>
  </si>
  <si>
    <r>
      <t>a</t>
    </r>
    <r>
      <rPr>
        <vertAlign val="subscript"/>
        <sz val="12"/>
        <rFont val="Arial"/>
        <family val="2"/>
      </rPr>
      <t>o</t>
    </r>
    <r>
      <rPr>
        <vertAlign val="subscript"/>
        <sz val="10"/>
        <rFont val="Arial"/>
        <family val="2"/>
      </rPr>
      <t xml:space="preserve"> </t>
    </r>
    <r>
      <rPr>
        <sz val="10"/>
        <rFont val="Arial"/>
        <family val="2"/>
      </rPr>
      <t xml:space="preserve">      </t>
    </r>
  </si>
  <si>
    <r>
      <t>a</t>
    </r>
    <r>
      <rPr>
        <vertAlign val="subscript"/>
        <sz val="12"/>
        <rFont val="Arial"/>
        <family val="2"/>
      </rPr>
      <t>t</t>
    </r>
    <r>
      <rPr>
        <vertAlign val="subscript"/>
        <sz val="10"/>
        <rFont val="Arial"/>
        <family val="2"/>
      </rPr>
      <t xml:space="preserve">      </t>
    </r>
  </si>
  <si>
    <r>
      <t>m</t>
    </r>
    <r>
      <rPr>
        <vertAlign val="subscript"/>
        <sz val="12"/>
        <rFont val="Arial"/>
        <family val="2"/>
      </rPr>
      <t xml:space="preserve">t </t>
    </r>
    <r>
      <rPr>
        <sz val="12"/>
        <rFont val="Arial"/>
        <family val="2"/>
      </rPr>
      <t xml:space="preserve"> </t>
    </r>
    <r>
      <rPr>
        <sz val="10"/>
        <rFont val="Arial"/>
        <family val="2"/>
      </rPr>
      <t xml:space="preserve">     </t>
    </r>
  </si>
  <si>
    <r>
      <t>A</t>
    </r>
    <r>
      <rPr>
        <vertAlign val="subscript"/>
        <sz val="12"/>
        <rFont val="Arial"/>
        <family val="2"/>
      </rPr>
      <t>a</t>
    </r>
  </si>
  <si>
    <r>
      <t>A</t>
    </r>
    <r>
      <rPr>
        <vertAlign val="subscript"/>
        <sz val="10"/>
        <rFont val="Arial"/>
        <family val="2"/>
      </rPr>
      <t>a</t>
    </r>
    <r>
      <rPr>
        <sz val="10"/>
        <rFont val="Arial"/>
        <family val="2"/>
      </rPr>
      <t xml:space="preserve"> (mm)</t>
    </r>
  </si>
  <si>
    <r>
      <t>A</t>
    </r>
    <r>
      <rPr>
        <vertAlign val="subscript"/>
        <sz val="12"/>
        <rFont val="Arial"/>
        <family val="2"/>
      </rPr>
      <t>sne</t>
    </r>
  </si>
  <si>
    <r>
      <t>T</t>
    </r>
    <r>
      <rPr>
        <vertAlign val="subscript"/>
        <sz val="12"/>
        <rFont val="Arial"/>
        <family val="2"/>
      </rPr>
      <t>sn</t>
    </r>
  </si>
  <si>
    <t>a1</t>
  </si>
  <si>
    <t>d11</t>
  </si>
  <si>
    <t>d21</t>
  </si>
  <si>
    <t>Türkçe için, lütfen " 1 " yaz ve "Enter" i tuşla.</t>
  </si>
  <si>
    <t>Für Deutsch, tippen Sie bitte " 2 " ein und enter.</t>
  </si>
  <si>
    <t>For English, please type " 3 " and press "enter".</t>
  </si>
  <si>
    <t>www.guven-kutay.ch</t>
  </si>
  <si>
    <r>
      <t>e</t>
    </r>
    <r>
      <rPr>
        <vertAlign val="subscript"/>
        <sz val="12"/>
        <rFont val="Symbol"/>
        <family val="1"/>
      </rPr>
      <t>a</t>
    </r>
    <r>
      <rPr>
        <vertAlign val="subscript"/>
        <sz val="12"/>
        <rFont val="Times New Roman"/>
        <family val="1"/>
      </rPr>
      <t>n1</t>
    </r>
  </si>
  <si>
    <t>D</t>
  </si>
  <si>
    <t>e-mail :  info@guven-kutay.ch</t>
  </si>
  <si>
    <t xml:space="preserve">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t>
  </si>
  <si>
    <t xml:space="preserve">Dieses Programm wurde nach bestem Wissen erstellt und entspricht dem aktuellen Stand der Technik. Für fehlerhafte Anwendung wird keine Haftung übernommen. Die Anwenderin bzw. der Anwender dieses Programmes muss die Zulässigkeit der Vereinfachungen im Einzelfall überprüfen und wenn nötig zusätzliche Berechnungen anstellen. Wenn Sie irgendeine Korrektur, Erweiterung oder Wunsch haben, können Sie sich ohne weiteres bei uns melden. </t>
  </si>
  <si>
    <t>All information in this program is factual to the author best knowledge and corresponds to the current state of the art. However, no liability is accepted for erroneous application. The user of this program must check the validity of simplifications on an individual basis and, if necessary, make appropriate calculations. Corrections, clarifications or other questions, should be sent to us.</t>
  </si>
  <si>
    <t>E</t>
  </si>
  <si>
    <t>Bu programdaki her bilgiyi kaynak göstermek şartıyla her yerde kullanabilirsiniz. Bu programa verilecek değerleri (mavi kareler) ya bu sitedeki bilgilerden veya literatürden almalısınız.</t>
  </si>
  <si>
    <t>Die Angaben in diesem Programm dürfen mit Hinweis auf die Quelle veröffentlicht werden. Die in dieses Programm einzugebenden Daten (die blaue Felder), können entweder aus den Unterlagen auf dieser Website oder aus der Literatur entnommen werden.</t>
  </si>
  <si>
    <t>The information in this program can be published with reference to the source. The input to this program (the blue fields) can be taken either from the documents on this Web site or from literature.</t>
  </si>
  <si>
    <t>Bu programı bilgisayarınızda kendinize göre bir yere kopyasını çıkarınız. Hesap yapacağınız zaman bilgisayardaki programı kullanınız.</t>
  </si>
  <si>
    <t>Kopieren Sie dieses Programm auf Ihrem Computer, wohin Sie es wollen. Verwenden Sie bei der Berechnungen das Programm, welches Sie auf Ihrem Computer haben.</t>
  </si>
  <si>
    <t>Download this program to a convenient place on your computer, and run it as necessary (or required).</t>
  </si>
  <si>
    <t>If you open the calculation page, please extinguish all values in the blue fields first to avoid errors.</t>
  </si>
  <si>
    <t>Please enter your input values carefully in the blue fields. Unused inputs can be left blank. Please be careful.</t>
  </si>
  <si>
    <t>The program returns calculated results to the yellow fields. The user can accept these results, or change them.</t>
  </si>
  <si>
    <t>In the blue input fields, references can be found which are very important for the safety of the calculations. These references must be followed.</t>
  </si>
  <si>
    <t>İnanılır hesapların yapılabilinmesi için konu hakkında gereken teoriyi önceden öğrenmek avantajdır.</t>
  </si>
  <si>
    <t>Um glaubwürdigen Berechnungen durchzuführen, sind die gute theoretische Kenntnisse im Vorteil.</t>
  </si>
  <si>
    <t>To carry out reliable calculations, good understanding of the theoretical background is necessary.</t>
  </si>
  <si>
    <t>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t>
  </si>
  <si>
    <t>The program in general judges the results on the lower right on the screen. Only computed values are compared. The program accept or reject the results. The user must check the results according to his healthy human intellect, judge them and only them decide. The program is not decision-maker body but only a decision aid.</t>
  </si>
  <si>
    <t>Eğer hesaplamalarında özel bir konstruksiyonun hesabı gerekiyorsa veya öğrenmek istediğiniz bir şey varsa, hiç çekinmeden bizimle temasa geçebilirsiniz. Bilgimizin yettiği kadar size memnuniyetle yardım ederiz.</t>
  </si>
  <si>
    <t>Wenn Sie bei einer speziellen Aufgabe etwas brauchen, dürfen Sie jederzeit  mit mir Kontakt aufnehmen und Ihre Probleme mitteilen. Soweit wir können,  werden wir versuchen Ihnen zu helfen.</t>
  </si>
  <si>
    <t>If you need something in the case of a specific task, you may all time contact us and inform us of your problems. As far as we can, we will attempt to help you.</t>
  </si>
  <si>
    <t>0. Programın kullanılması</t>
  </si>
  <si>
    <t>0. Benützung des Programmes</t>
  </si>
  <si>
    <t>0. Using the program</t>
  </si>
  <si>
    <t>sol</t>
  </si>
  <si>
    <r>
      <t xml:space="preserve">b   </t>
    </r>
    <r>
      <rPr>
        <sz val="10"/>
        <rFont val="Arial"/>
        <family val="2"/>
      </rPr>
      <t xml:space="preserve">    </t>
    </r>
  </si>
  <si>
    <t>m</t>
  </si>
  <si>
    <r>
      <t>d</t>
    </r>
  </si>
  <si>
    <t>max W</t>
  </si>
  <si>
    <t>mın W</t>
  </si>
  <si>
    <t>z</t>
  </si>
  <si>
    <r>
      <t>m</t>
    </r>
    <r>
      <rPr>
        <vertAlign val="subscript"/>
        <sz val="10"/>
        <rFont val="Arial"/>
        <family val="2"/>
      </rPr>
      <t>n</t>
    </r>
    <r>
      <rPr>
        <sz val="10"/>
        <rFont val="Arial"/>
        <family val="2"/>
      </rPr>
      <t xml:space="preserve">      </t>
    </r>
  </si>
  <si>
    <t>Copyright : M. G. Kutay , Ver 10.01</t>
  </si>
  <si>
    <r>
      <t>x</t>
    </r>
  </si>
  <si>
    <r>
      <t>k</t>
    </r>
  </si>
  <si>
    <r>
      <t>z</t>
    </r>
    <r>
      <rPr>
        <vertAlign val="subscript"/>
        <sz val="12"/>
        <rFont val="Arial"/>
        <family val="2"/>
      </rPr>
      <t xml:space="preserve"> </t>
    </r>
  </si>
  <si>
    <r>
      <t xml:space="preserve">b   </t>
    </r>
    <r>
      <rPr>
        <sz val="12"/>
        <rFont val="Arial"/>
        <family val="2"/>
      </rPr>
      <t xml:space="preserve">    </t>
    </r>
  </si>
  <si>
    <r>
      <t>W</t>
    </r>
    <r>
      <rPr>
        <vertAlign val="subscript"/>
        <sz val="12"/>
        <rFont val="Arial"/>
        <family val="2"/>
      </rPr>
      <t>k</t>
    </r>
  </si>
  <si>
    <t>Plastik makinası redüktörü</t>
  </si>
  <si>
    <t>5K - Tahrik dişlisi 2, Pınyon</t>
  </si>
  <si>
    <t>sağ</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</si>
</sst>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5" formatCode="&quot;Fr.&quot;\ #,##0;[Red]&quot;Fr.&quot;\ \-#,##0"/>
    <numFmt numFmtId="167" formatCode="&quot;Fr.&quot;\ #,##0.00;[Red]&quot;Fr.&quot;\ \-#,##0.00"/>
    <numFmt numFmtId="186" formatCode="0.0"/>
    <numFmt numFmtId="187" formatCode="0.000"/>
    <numFmt numFmtId="188" formatCode="0.0000"/>
    <numFmt numFmtId="194" formatCode="General&quot; mm&quot;"/>
    <numFmt numFmtId="197" formatCode="0&quot; mm&quot;"/>
    <numFmt numFmtId="199" formatCode="&quot;±&quot;0.0000&quot; mm&quot;"/>
    <numFmt numFmtId="201" formatCode="0.000000&quot; mm&quot;"/>
    <numFmt numFmtId="203" formatCode="0.000000&quot; °&quot;"/>
    <numFmt numFmtId="204" formatCode="0.000000"/>
    <numFmt numFmtId="205" formatCode="#0.00000\ "/>
    <numFmt numFmtId="206" formatCode="0.000&quot; mm&quot;"/>
    <numFmt numFmtId="207" formatCode="&quot;js &quot;0"/>
    <numFmt numFmtId="208" formatCode="#0.000"/>
    <numFmt numFmtId="209" formatCode="&quot;±&quot;0.0&quot; µm&quot;"/>
    <numFmt numFmtId="210" formatCode="0&quot; µm&quot;"/>
    <numFmt numFmtId="212" formatCode="0.0000&quot; °&quot;"/>
    <numFmt numFmtId="213" formatCode="&quot;-&quot;000&quot; µm&quot;"/>
    <numFmt numFmtId="214" formatCode="000&quot; µm&quot;"/>
    <numFmt numFmtId="215" formatCode="#0.000000"/>
    <numFmt numFmtId="216" formatCode="0\ &quot;)&quot;"/>
    <numFmt numFmtId="226" formatCode="&quot;DIN&quot;\ ##"/>
    <numFmt numFmtId="230" formatCode="0\ &quot;°&quot;"/>
  </numFmts>
  <fonts count="38">
    <font>
      <sz val="10"/>
      <name val="Arial"/>
      <family val="2"/>
    </font>
    <font>
      <b/>
      <sz val="10"/>
      <name val="MS Sans Serif"/>
      <family val="0"/>
    </font>
    <font>
      <i/>
      <sz val="10"/>
      <name val="MS Sans Serif"/>
      <family val="0"/>
    </font>
    <font>
      <b/>
      <i/>
      <sz val="10"/>
      <name val="MS Sans Serif"/>
      <family val="0"/>
    </font>
    <font>
      <sz val="10"/>
      <name val="MS Sans Serif"/>
      <family val="0"/>
    </font>
    <font>
      <sz val="9.5"/>
      <name val="MS Sans Serif"/>
      <family val="2"/>
    </font>
    <font>
      <sz val="10"/>
      <color indexed="10"/>
      <name val="Arial"/>
      <family val="2"/>
    </font>
    <font>
      <b/>
      <sz val="10"/>
      <color indexed="10"/>
      <name val="Arial"/>
      <family val="2"/>
    </font>
    <font>
      <sz val="10"/>
      <color indexed="12"/>
      <name val="Arial"/>
      <family val="2"/>
    </font>
    <font>
      <b/>
      <sz val="10"/>
      <color indexed="12"/>
      <name val="Arial"/>
      <family val="2"/>
    </font>
    <font>
      <sz val="10"/>
      <color indexed="10"/>
      <name val="MS Sans Serif"/>
      <family val="2"/>
    </font>
    <font>
      <sz val="10"/>
      <name val="Symbol"/>
      <family val="1"/>
    </font>
    <font>
      <b/>
      <sz val="16"/>
      <color indexed="10"/>
      <name val="Arial"/>
      <family val="2"/>
    </font>
    <font>
      <vertAlign val="subscript"/>
      <sz val="10"/>
      <name val="Arial"/>
      <family val="2"/>
    </font>
    <font>
      <sz val="12"/>
      <name val="Symbol"/>
      <family val="1"/>
    </font>
    <font>
      <vertAlign val="subscript"/>
      <sz val="12"/>
      <name val="Arial"/>
      <family val="2"/>
    </font>
    <font>
      <sz val="12"/>
      <name val="Arial"/>
      <family val="2"/>
    </font>
    <font>
      <vertAlign val="subscript"/>
      <sz val="12"/>
      <name val="Symbol"/>
      <family val="1"/>
    </font>
    <font>
      <sz val="10"/>
      <color indexed="39"/>
      <name val="Arial"/>
      <family val="2"/>
    </font>
    <font>
      <u val="single"/>
      <sz val="8.5"/>
      <color indexed="12"/>
      <name val="Arial"/>
      <family val="2"/>
    </font>
    <font>
      <u val="single"/>
      <sz val="8.5"/>
      <color indexed="36"/>
      <name val="Arial"/>
      <family val="2"/>
    </font>
    <font>
      <b/>
      <sz val="12"/>
      <color indexed="10"/>
      <name val="Arial"/>
      <family val="2"/>
    </font>
    <font>
      <b/>
      <sz val="10"/>
      <color indexed="39"/>
      <name val="Arial"/>
      <family val="2"/>
    </font>
    <font>
      <b/>
      <sz val="12"/>
      <name val="Arial"/>
      <family val="2"/>
    </font>
    <font>
      <b/>
      <sz val="10"/>
      <color indexed="17"/>
      <name val="MS Sans Serif"/>
      <family val="2"/>
    </font>
    <font>
      <b/>
      <sz val="18"/>
      <color indexed="10"/>
      <name val="Arial"/>
      <family val="2"/>
    </font>
    <font>
      <vertAlign val="subscript"/>
      <sz val="12"/>
      <name val="Times New Roman"/>
      <family val="1"/>
    </font>
    <font>
      <b/>
      <i/>
      <sz val="12"/>
      <color indexed="10"/>
      <name val="Arial Narrow"/>
      <family val="2"/>
    </font>
    <font>
      <b/>
      <i/>
      <sz val="10"/>
      <color indexed="10"/>
      <name val="Arial"/>
      <family val="2"/>
    </font>
    <font>
      <sz val="12"/>
      <color indexed="10"/>
      <name val="Arial"/>
      <family val="2"/>
    </font>
    <font>
      <sz val="12"/>
      <name val="MS Sans Serif"/>
      <family val="2"/>
    </font>
    <font>
      <b/>
      <sz val="12"/>
      <color indexed="39"/>
      <name val="Arial"/>
      <family val="2"/>
    </font>
    <font>
      <b/>
      <sz val="48"/>
      <color indexed="10"/>
      <name val="Arial"/>
      <family val="2"/>
    </font>
    <font>
      <b/>
      <sz val="12"/>
      <color indexed="10"/>
      <name val="MS Sans Serif"/>
      <family val="2"/>
    </font>
    <font>
      <sz val="12"/>
      <color indexed="10"/>
      <name val="MS Sans Serif"/>
      <family val="2"/>
    </font>
    <font>
      <sz val="12"/>
      <color indexed="12"/>
      <name val="Arial"/>
      <family val="2"/>
    </font>
    <font>
      <sz val="12"/>
      <color indexed="12"/>
      <name val="MS Sans Serif"/>
      <family val="2"/>
    </font>
    <font>
      <i/>
      <sz val="12"/>
      <color indexed="10"/>
      <name val="Arial"/>
      <family val="2"/>
    </font>
  </fonts>
  <fills count="7">
    <fill>
      <patternFill/>
    </fill>
    <fill>
      <patternFill patternType="gray125"/>
    </fill>
    <fill>
      <patternFill patternType="solid">
        <fgColor indexed="65"/>
        <bgColor indexed="64"/>
      </patternFill>
    </fill>
    <fill>
      <patternFill patternType="lightGray">
        <fgColor indexed="13"/>
      </patternFill>
    </fill>
    <fill>
      <patternFill patternType="lightGray">
        <fgColor indexed="11"/>
      </patternFill>
    </fill>
    <fill>
      <patternFill patternType="lightGray">
        <fgColor indexed="15"/>
      </patternFill>
    </fill>
    <fill>
      <patternFill patternType="lightGray">
        <fgColor indexed="13"/>
        <bgColor indexed="9"/>
      </patternFill>
    </fill>
  </fills>
  <borders count="67">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hair"/>
      <bottom style="thin"/>
    </border>
    <border>
      <left style="hair"/>
      <right style="thin"/>
      <top style="hair"/>
      <bottom>
        <color indexed="63"/>
      </bottom>
    </border>
    <border>
      <left style="thin"/>
      <right>
        <color indexed="63"/>
      </right>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hair"/>
      <bottom style="thin"/>
    </border>
    <border>
      <left style="hair"/>
      <right>
        <color indexed="63"/>
      </right>
      <top style="hair"/>
      <bottom style="thin"/>
    </border>
    <border>
      <left style="hair"/>
      <right style="thin"/>
      <top style="hair"/>
      <bottom style="thin"/>
    </border>
    <border>
      <left style="thin"/>
      <right>
        <color indexed="63"/>
      </right>
      <top style="hair"/>
      <bottom style="hair"/>
    </border>
    <border>
      <left>
        <color indexed="63"/>
      </left>
      <right style="thin"/>
      <top style="hair"/>
      <bottom style="hair"/>
    </border>
    <border>
      <left style="hair"/>
      <right>
        <color indexed="63"/>
      </right>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style="hair"/>
      <bottom style="hair"/>
    </border>
    <border>
      <left>
        <color indexed="63"/>
      </left>
      <right style="hair"/>
      <top style="hair"/>
      <bottom style="hair"/>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style="hair"/>
    </border>
    <border>
      <left style="double">
        <color indexed="10"/>
      </left>
      <right>
        <color indexed="63"/>
      </right>
      <top style="double">
        <color indexed="10"/>
      </top>
      <bottom style="hair">
        <color indexed="10"/>
      </bottom>
    </border>
    <border>
      <left>
        <color indexed="63"/>
      </left>
      <right>
        <color indexed="63"/>
      </right>
      <top style="double">
        <color indexed="10"/>
      </top>
      <bottom style="hair">
        <color indexed="10"/>
      </bottom>
    </border>
    <border>
      <left>
        <color indexed="63"/>
      </left>
      <right style="double">
        <color indexed="10"/>
      </right>
      <top style="double">
        <color indexed="10"/>
      </top>
      <bottom style="hair">
        <color indexed="10"/>
      </bottom>
    </border>
    <border>
      <left style="double">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double">
        <color indexed="10"/>
      </right>
      <top style="hair">
        <color indexed="10"/>
      </top>
      <bottom style="hair">
        <color indexed="10"/>
      </bottom>
    </border>
    <border>
      <left style="double">
        <color indexed="10"/>
      </left>
      <right>
        <color indexed="63"/>
      </right>
      <top style="hair">
        <color indexed="10"/>
      </top>
      <bottom style="double">
        <color indexed="10"/>
      </bottom>
    </border>
    <border>
      <left>
        <color indexed="63"/>
      </left>
      <right>
        <color indexed="63"/>
      </right>
      <top style="hair">
        <color indexed="10"/>
      </top>
      <bottom style="double">
        <color indexed="10"/>
      </bottom>
    </border>
    <border>
      <left>
        <color indexed="63"/>
      </left>
      <right style="double">
        <color indexed="10"/>
      </right>
      <top style="hair">
        <color indexed="10"/>
      </top>
      <bottom style="double">
        <color indexed="10"/>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style="thin"/>
      <bottom style="hair"/>
    </border>
    <border>
      <left>
        <color indexed="63"/>
      </left>
      <right>
        <color indexed="63"/>
      </right>
      <top style="hair"/>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color indexed="63"/>
      </bottom>
    </border>
    <border>
      <left style="double">
        <color indexed="10"/>
      </left>
      <right style="double">
        <color indexed="10"/>
      </right>
      <top>
        <color indexed="63"/>
      </top>
      <bottom style="double">
        <color indexed="10"/>
      </bottom>
    </border>
    <border>
      <left>
        <color indexed="63"/>
      </left>
      <right>
        <color indexed="63"/>
      </right>
      <top style="double">
        <color indexed="10"/>
      </top>
      <bottom>
        <color indexed="63"/>
      </bottom>
    </border>
    <border>
      <left style="hair"/>
      <right style="hair"/>
      <top style="hair"/>
      <bottom style="thin"/>
    </border>
    <border>
      <left style="hair"/>
      <right style="hair"/>
      <top style="hair"/>
      <bottom style="hair"/>
    </border>
    <border>
      <left style="hair"/>
      <right style="hair"/>
      <top style="thin"/>
      <bottom style="hair"/>
    </border>
    <border>
      <left style="thin"/>
      <right style="hair"/>
      <top style="hair"/>
      <bottom style="thin"/>
    </border>
    <border>
      <left style="hair"/>
      <right style="thin"/>
      <top style="thin"/>
      <bottom style="hair"/>
    </border>
    <border>
      <left style="thin"/>
      <right style="hair"/>
      <top style="thin"/>
      <bottom style="hair"/>
    </border>
    <border>
      <left>
        <color indexed="63"/>
      </left>
      <right style="hair"/>
      <top>
        <color indexed="63"/>
      </top>
      <bottom>
        <color indexed="63"/>
      </bottom>
    </border>
    <border>
      <left style="thin"/>
      <right style="hair"/>
      <top style="thin"/>
      <bottom>
        <color indexed="63"/>
      </bottom>
    </border>
    <border>
      <left style="thin"/>
      <right style="hair"/>
      <top>
        <color indexed="63"/>
      </top>
      <bottom style="hair"/>
    </border>
    <border>
      <left style="medium"/>
      <right style="thin"/>
      <top style="thin"/>
      <bottom style="thin"/>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19" fillId="0" borderId="0" applyNumberForma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cellStyleXfs>
  <cellXfs count="311">
    <xf numFmtId="0" fontId="0" fillId="0" borderId="0" xfId="0" applyAlignment="1">
      <alignment/>
    </xf>
    <xf numFmtId="0" fontId="0" fillId="0" borderId="0" xfId="0" applyAlignment="1" applyProtection="1">
      <alignment/>
      <protection hidden="1"/>
    </xf>
    <xf numFmtId="0" fontId="5" fillId="0" borderId="0" xfId="0" applyFont="1" applyAlignment="1" applyProtection="1">
      <alignment vertical="center"/>
      <protection hidden="1"/>
    </xf>
    <xf numFmtId="0" fontId="5" fillId="0" borderId="0" xfId="0" applyFont="1" applyAlignment="1" applyProtection="1">
      <alignment/>
      <protection hidden="1"/>
    </xf>
    <xf numFmtId="0" fontId="0"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Alignment="1" applyProtection="1" quotePrefix="1">
      <alignment horizontal="left" vertical="center"/>
      <protection hidden="1"/>
    </xf>
    <xf numFmtId="0" fontId="8"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1" xfId="0" applyFont="1" applyBorder="1" applyAlignment="1" applyProtection="1">
      <alignment vertical="center"/>
      <protection hidden="1"/>
    </xf>
    <xf numFmtId="0" fontId="0" fillId="0" borderId="2" xfId="0" applyFont="1" applyBorder="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0" fontId="0" fillId="0" borderId="3" xfId="0" applyFont="1" applyBorder="1" applyAlignment="1" applyProtection="1">
      <alignment vertical="center"/>
      <protection hidden="1"/>
    </xf>
    <xf numFmtId="0" fontId="6" fillId="2" borderId="0" xfId="0" applyFont="1" applyFill="1" applyBorder="1" applyAlignment="1" applyProtection="1" quotePrefix="1">
      <alignment horizontal="left" vertical="center"/>
      <protection hidden="1"/>
    </xf>
    <xf numFmtId="0" fontId="0" fillId="2" borderId="1" xfId="0" applyFont="1" applyFill="1" applyBorder="1" applyAlignment="1" applyProtection="1">
      <alignment vertical="center"/>
      <protection hidden="1"/>
    </xf>
    <xf numFmtId="0" fontId="0" fillId="2" borderId="4" xfId="0" applyFont="1" applyFill="1" applyBorder="1" applyAlignment="1" applyProtection="1">
      <alignment horizontal="left" vertical="center"/>
      <protection hidden="1"/>
    </xf>
    <xf numFmtId="0" fontId="0" fillId="2" borderId="5" xfId="0" applyFont="1" applyFill="1" applyBorder="1" applyAlignment="1" applyProtection="1">
      <alignment vertical="center"/>
      <protection hidden="1"/>
    </xf>
    <xf numFmtId="0" fontId="0" fillId="2" borderId="6" xfId="0" applyFont="1" applyFill="1" applyBorder="1" applyAlignment="1" applyProtection="1" quotePrefix="1">
      <alignment horizontal="left" vertical="center"/>
      <protection hidden="1"/>
    </xf>
    <xf numFmtId="0" fontId="0" fillId="2" borderId="6" xfId="0" applyFont="1" applyFill="1" applyBorder="1" applyAlignment="1" applyProtection="1">
      <alignment horizontal="left" vertical="center"/>
      <protection hidden="1"/>
    </xf>
    <xf numFmtId="0" fontId="0" fillId="2" borderId="5" xfId="0" applyFont="1" applyFill="1" applyBorder="1" applyAlignment="1" applyProtection="1" quotePrefix="1">
      <alignment horizontal="left" vertical="center"/>
      <protection hidden="1"/>
    </xf>
    <xf numFmtId="0" fontId="0" fillId="2" borderId="5" xfId="0" applyFont="1" applyFill="1" applyBorder="1" applyAlignment="1" applyProtection="1">
      <alignment horizontal="left" vertical="center"/>
      <protection hidden="1"/>
    </xf>
    <xf numFmtId="0" fontId="0" fillId="0" borderId="7" xfId="0" applyFont="1" applyBorder="1" applyAlignment="1" applyProtection="1">
      <alignment vertical="center"/>
      <protection hidden="1"/>
    </xf>
    <xf numFmtId="0" fontId="6" fillId="0" borderId="0" xfId="0" applyFont="1" applyFill="1" applyBorder="1" applyAlignment="1" applyProtection="1" quotePrefix="1">
      <alignment horizontal="left" vertical="center"/>
      <protection hidden="1"/>
    </xf>
    <xf numFmtId="2" fontId="6" fillId="0" borderId="4" xfId="0" applyNumberFormat="1" applyFont="1" applyFill="1" applyBorder="1" applyAlignment="1" applyProtection="1">
      <alignment horizontal="centerContinuous" vertical="center"/>
      <protection hidden="1"/>
    </xf>
    <xf numFmtId="203" fontId="6" fillId="0" borderId="5" xfId="0" applyNumberFormat="1" applyFont="1" applyFill="1" applyBorder="1" applyAlignment="1" applyProtection="1">
      <alignment horizontal="centerContinuous" vertical="center"/>
      <protection hidden="1"/>
    </xf>
    <xf numFmtId="2" fontId="6" fillId="0" borderId="6" xfId="0" applyNumberFormat="1" applyFont="1" applyFill="1" applyBorder="1" applyAlignment="1" applyProtection="1">
      <alignment horizontal="centerContinuous" vertical="center"/>
      <protection hidden="1"/>
    </xf>
    <xf numFmtId="201" fontId="6" fillId="0" borderId="5" xfId="0" applyNumberFormat="1" applyFont="1" applyFill="1" applyBorder="1" applyAlignment="1" applyProtection="1">
      <alignment horizontal="centerContinuous" vertical="center"/>
      <protection hidden="1"/>
    </xf>
    <xf numFmtId="204" fontId="6" fillId="0" borderId="5" xfId="0" applyNumberFormat="1" applyFont="1" applyFill="1" applyBorder="1" applyAlignment="1" applyProtection="1">
      <alignment horizontal="centerContinuous" vertical="center"/>
      <protection hidden="1"/>
    </xf>
    <xf numFmtId="204" fontId="6" fillId="0" borderId="6" xfId="0" applyNumberFormat="1" applyFont="1" applyFill="1" applyBorder="1" applyAlignment="1" applyProtection="1">
      <alignment horizontal="centerContinuous" vertical="center"/>
      <protection hidden="1"/>
    </xf>
    <xf numFmtId="187" fontId="6" fillId="0" borderId="5" xfId="0" applyNumberFormat="1" applyFont="1" applyFill="1" applyBorder="1" applyAlignment="1" applyProtection="1">
      <alignment horizontal="centerContinuous" vertical="center"/>
      <protection hidden="1"/>
    </xf>
    <xf numFmtId="187" fontId="6" fillId="0" borderId="8" xfId="0" applyNumberFormat="1" applyFont="1" applyFill="1" applyBorder="1" applyAlignment="1" applyProtection="1">
      <alignment horizontal="centerContinuous" vertical="center"/>
      <protection hidden="1"/>
    </xf>
    <xf numFmtId="206" fontId="6" fillId="0" borderId="5" xfId="0" applyNumberFormat="1" applyFont="1" applyFill="1" applyBorder="1" applyAlignment="1" applyProtection="1">
      <alignment horizontal="centerContinuous" vertical="center"/>
      <protection hidden="1"/>
    </xf>
    <xf numFmtId="206" fontId="6" fillId="0" borderId="8" xfId="0" applyNumberFormat="1" applyFont="1" applyFill="1" applyBorder="1" applyAlignment="1" applyProtection="1">
      <alignment horizontal="centerContinuous" vertical="center"/>
      <protection hidden="1"/>
    </xf>
    <xf numFmtId="1" fontId="6" fillId="0" borderId="5" xfId="0" applyNumberFormat="1" applyFont="1" applyFill="1" applyBorder="1" applyAlignment="1" applyProtection="1">
      <alignment horizontal="centerContinuous" vertical="center"/>
      <protection hidden="1"/>
    </xf>
    <xf numFmtId="1" fontId="6" fillId="0" borderId="8" xfId="0" applyNumberFormat="1" applyFont="1" applyFill="1" applyBorder="1" applyAlignment="1" applyProtection="1">
      <alignment horizontal="centerContinuous" vertical="center"/>
      <protection hidden="1"/>
    </xf>
    <xf numFmtId="187" fontId="6" fillId="3" borderId="5" xfId="0" applyNumberFormat="1" applyFont="1" applyFill="1" applyBorder="1" applyAlignment="1" applyProtection="1">
      <alignment horizontal="centerContinuous" vertical="center"/>
      <protection hidden="1"/>
    </xf>
    <xf numFmtId="187" fontId="6" fillId="3" borderId="8" xfId="0" applyNumberFormat="1" applyFont="1" applyFill="1" applyBorder="1" applyAlignment="1" applyProtection="1">
      <alignment horizontal="centerContinuous" vertical="center"/>
      <protection hidden="1"/>
    </xf>
    <xf numFmtId="0" fontId="0" fillId="2" borderId="2" xfId="0" applyFont="1" applyFill="1" applyBorder="1" applyAlignment="1" applyProtection="1">
      <alignment vertical="center"/>
      <protection hidden="1"/>
    </xf>
    <xf numFmtId="0" fontId="0" fillId="2" borderId="9" xfId="0" applyFont="1" applyFill="1" applyBorder="1" applyAlignment="1" applyProtection="1">
      <alignment horizontal="left" vertical="center"/>
      <protection hidden="1"/>
    </xf>
    <xf numFmtId="187" fontId="6" fillId="0" borderId="9" xfId="0" applyNumberFormat="1" applyFont="1" applyFill="1" applyBorder="1" applyAlignment="1" applyProtection="1">
      <alignment horizontal="centerContinuous" vertical="center"/>
      <protection hidden="1"/>
    </xf>
    <xf numFmtId="187" fontId="6" fillId="0" borderId="7" xfId="0" applyNumberFormat="1" applyFont="1" applyFill="1" applyBorder="1" applyAlignment="1" applyProtection="1">
      <alignment horizontal="centerContinuous" vertical="center"/>
      <protection hidden="1"/>
    </xf>
    <xf numFmtId="205" fontId="6" fillId="0" borderId="8" xfId="0" applyNumberFormat="1" applyFont="1" applyFill="1" applyBorder="1" applyAlignment="1" applyProtection="1">
      <alignment horizontal="centerContinuous" vertical="center"/>
      <protection hidden="1"/>
    </xf>
    <xf numFmtId="0" fontId="0" fillId="4" borderId="5" xfId="0" applyFont="1" applyFill="1" applyBorder="1" applyAlignment="1" applyProtection="1">
      <alignment vertical="center"/>
      <protection hidden="1"/>
    </xf>
    <xf numFmtId="0" fontId="0" fillId="4" borderId="10" xfId="0" applyFont="1" applyFill="1" applyBorder="1" applyAlignment="1" applyProtection="1">
      <alignment horizontal="centerContinuous" vertical="center"/>
      <protection hidden="1"/>
    </xf>
    <xf numFmtId="0" fontId="0" fillId="4" borderId="8" xfId="0" applyFont="1" applyFill="1" applyBorder="1" applyAlignment="1" applyProtection="1">
      <alignment horizontal="centerContinuous" vertical="center"/>
      <protection hidden="1"/>
    </xf>
    <xf numFmtId="0" fontId="0" fillId="0" borderId="5" xfId="0" applyFont="1" applyFill="1" applyBorder="1" applyAlignment="1" applyProtection="1">
      <alignment vertical="center"/>
      <protection hidden="1"/>
    </xf>
    <xf numFmtId="0" fontId="0" fillId="4" borderId="5" xfId="0" applyFont="1" applyFill="1" applyBorder="1" applyAlignment="1" applyProtection="1" quotePrefix="1">
      <alignment horizontal="centerContinuous" vertical="center"/>
      <protection hidden="1"/>
    </xf>
    <xf numFmtId="209" fontId="0" fillId="4" borderId="10" xfId="0" applyNumberFormat="1" applyFont="1" applyFill="1" applyBorder="1" applyAlignment="1" applyProtection="1">
      <alignment horizontal="centerContinuous" vertical="center"/>
      <protection hidden="1"/>
    </xf>
    <xf numFmtId="209" fontId="0" fillId="4" borderId="8" xfId="0" applyNumberFormat="1" applyFont="1" applyFill="1" applyBorder="1" applyAlignment="1" applyProtection="1">
      <alignment horizontal="centerContinuous" vertical="center"/>
      <protection hidden="1"/>
    </xf>
    <xf numFmtId="210" fontId="0" fillId="4" borderId="10" xfId="0" applyNumberFormat="1" applyFont="1" applyFill="1" applyBorder="1" applyAlignment="1" applyProtection="1">
      <alignment horizontal="centerContinuous" vertical="center"/>
      <protection hidden="1"/>
    </xf>
    <xf numFmtId="0" fontId="0" fillId="4" borderId="11" xfId="0" applyFont="1"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right" vertical="center"/>
      <protection hidden="1"/>
    </xf>
    <xf numFmtId="0" fontId="0" fillId="0" borderId="0" xfId="0" applyAlignment="1" applyProtection="1">
      <alignment horizontal="center" vertical="center"/>
      <protection hidden="1"/>
    </xf>
    <xf numFmtId="0" fontId="0" fillId="4" borderId="10" xfId="0" applyFont="1" applyFill="1" applyBorder="1" applyAlignment="1" applyProtection="1">
      <alignment horizontal="center" vertical="center"/>
      <protection hidden="1"/>
    </xf>
    <xf numFmtId="210" fontId="0" fillId="4" borderId="10" xfId="0" applyNumberFormat="1" applyFont="1" applyFill="1" applyBorder="1" applyAlignment="1" applyProtection="1">
      <alignment horizontal="center" vertical="center"/>
      <protection hidden="1"/>
    </xf>
    <xf numFmtId="210" fontId="0" fillId="4" borderId="8" xfId="0" applyNumberFormat="1" applyFont="1" applyFill="1" applyBorder="1" applyAlignment="1" applyProtection="1">
      <alignment horizontal="center" vertical="center"/>
      <protection hidden="1"/>
    </xf>
    <xf numFmtId="0" fontId="0" fillId="0" borderId="0" xfId="0" applyFont="1" applyAlignment="1" applyProtection="1">
      <alignment horizontal="center"/>
      <protection hidden="1"/>
    </xf>
    <xf numFmtId="0" fontId="0" fillId="0" borderId="9"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5" xfId="0" applyFont="1" applyFill="1" applyBorder="1" applyAlignment="1" applyProtection="1" quotePrefix="1">
      <alignment horizontal="left" vertical="center"/>
      <protection hidden="1"/>
    </xf>
    <xf numFmtId="0" fontId="0" fillId="0" borderId="2" xfId="0" applyFont="1" applyFill="1" applyBorder="1" applyAlignment="1" applyProtection="1">
      <alignment horizontal="center" vertical="center"/>
      <protection hidden="1"/>
    </xf>
    <xf numFmtId="0" fontId="0" fillId="0" borderId="5" xfId="0" applyFont="1" applyFill="1" applyBorder="1" applyAlignment="1" applyProtection="1" quotePrefix="1">
      <alignment horizontal="centerContinuous" vertical="center"/>
      <protection hidden="1"/>
    </xf>
    <xf numFmtId="209" fontId="0" fillId="0" borderId="10" xfId="0" applyNumberFormat="1" applyFont="1" applyFill="1" applyBorder="1" applyAlignment="1" applyProtection="1">
      <alignment horizontal="centerContinuous" vertical="center"/>
      <protection hidden="1"/>
    </xf>
    <xf numFmtId="209" fontId="0" fillId="0" borderId="8" xfId="0" applyNumberFormat="1" applyFont="1" applyFill="1" applyBorder="1" applyAlignment="1" applyProtection="1">
      <alignment horizontal="centerContinuous" vertical="center"/>
      <protection hidden="1"/>
    </xf>
    <xf numFmtId="0" fontId="0" fillId="0" borderId="5" xfId="0" applyFont="1" applyFill="1" applyBorder="1" applyAlignment="1" applyProtection="1">
      <alignment horizontal="centerContinuous" vertical="center"/>
      <protection hidden="1"/>
    </xf>
    <xf numFmtId="210" fontId="0" fillId="0" borderId="10" xfId="0" applyNumberFormat="1" applyFont="1" applyFill="1" applyBorder="1" applyAlignment="1" applyProtection="1">
      <alignment horizontal="centerContinuous" vertical="center"/>
      <protection hidden="1"/>
    </xf>
    <xf numFmtId="210" fontId="0" fillId="0" borderId="10" xfId="0" applyNumberFormat="1" applyFont="1" applyFill="1" applyBorder="1" applyAlignment="1" applyProtection="1">
      <alignment horizontal="center" vertical="center"/>
      <protection hidden="1"/>
    </xf>
    <xf numFmtId="210" fontId="0" fillId="0" borderId="8" xfId="0" applyNumberFormat="1" applyFont="1" applyFill="1" applyBorder="1" applyAlignment="1" applyProtection="1">
      <alignment horizontal="center" vertical="center"/>
      <protection hidden="1"/>
    </xf>
    <xf numFmtId="0" fontId="0" fillId="4" borderId="9" xfId="0" applyFont="1" applyFill="1" applyBorder="1" applyAlignment="1" applyProtection="1" quotePrefix="1">
      <alignment horizontal="centerContinuous" vertical="center"/>
      <protection hidden="1"/>
    </xf>
    <xf numFmtId="209" fontId="0" fillId="4" borderId="13" xfId="0" applyNumberFormat="1" applyFont="1" applyFill="1" applyBorder="1" applyAlignment="1" applyProtection="1">
      <alignment horizontal="centerContinuous" vertical="center"/>
      <protection hidden="1"/>
    </xf>
    <xf numFmtId="209" fontId="0" fillId="4" borderId="14" xfId="0" applyNumberFormat="1" applyFont="1" applyFill="1" applyBorder="1" applyAlignment="1" applyProtection="1">
      <alignment horizontal="centerContinuous" vertical="center"/>
      <protection hidden="1"/>
    </xf>
    <xf numFmtId="0" fontId="0" fillId="4" borderId="8" xfId="0" applyFont="1" applyFill="1" applyBorder="1" applyAlignment="1" applyProtection="1">
      <alignment horizontal="center" vertical="center"/>
      <protection hidden="1"/>
    </xf>
    <xf numFmtId="210" fontId="0" fillId="4" borderId="13" xfId="0" applyNumberFormat="1" applyFont="1" applyFill="1" applyBorder="1" applyAlignment="1" applyProtection="1">
      <alignment horizontal="centerContinuous" vertical="center"/>
      <protection hidden="1"/>
    </xf>
    <xf numFmtId="210" fontId="0" fillId="4" borderId="13" xfId="0" applyNumberFormat="1" applyFont="1" applyFill="1" applyBorder="1" applyAlignment="1" applyProtection="1">
      <alignment horizontal="center" vertical="center"/>
      <protection hidden="1"/>
    </xf>
    <xf numFmtId="210" fontId="0" fillId="4" borderId="14" xfId="0" applyNumberFormat="1" applyFont="1" applyFill="1" applyBorder="1" applyAlignment="1" applyProtection="1">
      <alignment horizontal="center" vertical="center"/>
      <protection hidden="1"/>
    </xf>
    <xf numFmtId="1" fontId="0" fillId="4" borderId="10" xfId="0" applyNumberFormat="1" applyFont="1" applyFill="1" applyBorder="1" applyAlignment="1" applyProtection="1">
      <alignment horizontal="centerContinuous" vertical="center"/>
      <protection hidden="1"/>
    </xf>
    <xf numFmtId="1" fontId="0" fillId="4" borderId="10" xfId="0" applyNumberFormat="1" applyFont="1" applyFill="1" applyBorder="1" applyAlignment="1" applyProtection="1">
      <alignment horizontal="center" vertical="center"/>
      <protection hidden="1"/>
    </xf>
    <xf numFmtId="1" fontId="0" fillId="4" borderId="8" xfId="0" applyNumberFormat="1"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215" fontId="6" fillId="0" borderId="8" xfId="0" applyNumberFormat="1" applyFont="1" applyFill="1" applyBorder="1" applyAlignment="1" applyProtection="1">
      <alignment horizontal="centerContinuous" vertical="center"/>
      <protection hidden="1"/>
    </xf>
    <xf numFmtId="188" fontId="6" fillId="0" borderId="5" xfId="0" applyNumberFormat="1" applyFont="1" applyFill="1" applyBorder="1" applyAlignment="1" applyProtection="1">
      <alignment horizontal="centerContinuous" vertical="center"/>
      <protection hidden="1"/>
    </xf>
    <xf numFmtId="0" fontId="11" fillId="2" borderId="6" xfId="0" applyFont="1" applyFill="1" applyBorder="1" applyAlignment="1" applyProtection="1" quotePrefix="1">
      <alignment horizontal="left" vertical="center"/>
      <protection hidden="1"/>
    </xf>
    <xf numFmtId="0" fontId="22" fillId="0" borderId="0" xfId="0" applyFont="1" applyAlignment="1" applyProtection="1">
      <alignment vertical="center"/>
      <protection hidden="1"/>
    </xf>
    <xf numFmtId="0" fontId="16" fillId="0" borderId="0" xfId="0" applyFont="1" applyAlignment="1" applyProtection="1">
      <alignment horizontal="left" vertical="center"/>
      <protection hidden="1"/>
    </xf>
    <xf numFmtId="0" fontId="21" fillId="0" borderId="0" xfId="0" applyFont="1" applyAlignment="1" applyProtection="1">
      <alignment/>
      <protection hidden="1"/>
    </xf>
    <xf numFmtId="216" fontId="23" fillId="0" borderId="0" xfId="0" applyNumberFormat="1" applyFont="1" applyAlignment="1" applyProtection="1">
      <alignment horizontal="right" vertical="top"/>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2" borderId="15" xfId="0" applyFont="1" applyFill="1" applyBorder="1" applyAlignment="1" applyProtection="1" quotePrefix="1">
      <alignment horizontal="left" vertical="center"/>
      <protection hidden="1"/>
    </xf>
    <xf numFmtId="0" fontId="0" fillId="0" borderId="0" xfId="0" applyAlignment="1" applyProtection="1">
      <alignment/>
      <protection hidden="1"/>
    </xf>
    <xf numFmtId="0" fontId="24" fillId="0" borderId="0" xfId="0" applyFont="1" applyAlignment="1" applyProtection="1">
      <alignment horizontal="left" vertical="center"/>
      <protection hidden="1"/>
    </xf>
    <xf numFmtId="0" fontId="0" fillId="2" borderId="6" xfId="0" applyFont="1" applyFill="1" applyBorder="1" applyAlignment="1" applyProtection="1">
      <alignment horizontal="left"/>
      <protection hidden="1"/>
    </xf>
    <xf numFmtId="0" fontId="0" fillId="2" borderId="6" xfId="0" applyFont="1" applyFill="1" applyBorder="1" applyAlignment="1" applyProtection="1" quotePrefix="1">
      <alignment horizontal="left"/>
      <protection hidden="1"/>
    </xf>
    <xf numFmtId="0" fontId="14" fillId="2" borderId="6" xfId="0" applyFont="1" applyFill="1" applyBorder="1" applyAlignment="1" applyProtection="1">
      <alignment horizontal="left"/>
      <protection hidden="1"/>
    </xf>
    <xf numFmtId="0" fontId="14" fillId="2" borderId="7" xfId="0" applyFont="1" applyFill="1" applyBorder="1" applyAlignment="1" applyProtection="1">
      <alignment horizontal="left"/>
      <protection hidden="1"/>
    </xf>
    <xf numFmtId="0" fontId="0" fillId="2" borderId="4" xfId="0" applyFont="1" applyFill="1" applyBorder="1" applyAlignment="1" applyProtection="1" quotePrefix="1">
      <alignment horizontal="left"/>
      <protection hidden="1"/>
    </xf>
    <xf numFmtId="0" fontId="11" fillId="2" borderId="6" xfId="0" applyFont="1" applyFill="1" applyBorder="1" applyAlignment="1" applyProtection="1" quotePrefix="1">
      <alignment horizontal="left"/>
      <protection hidden="1"/>
    </xf>
    <xf numFmtId="0" fontId="0" fillId="2" borderId="6" xfId="0" applyFont="1" applyFill="1" applyBorder="1" applyAlignment="1" applyProtection="1" quotePrefix="1">
      <alignment horizontal="left"/>
      <protection hidden="1"/>
    </xf>
    <xf numFmtId="0" fontId="0" fillId="2" borderId="15" xfId="0" applyFont="1" applyFill="1" applyBorder="1" applyAlignment="1" applyProtection="1">
      <alignment horizontal="left" vertical="center"/>
      <protection hidden="1"/>
    </xf>
    <xf numFmtId="0" fontId="0" fillId="2" borderId="16" xfId="0" applyFont="1" applyFill="1" applyBorder="1" applyAlignment="1" applyProtection="1">
      <alignment horizontal="left" vertical="center"/>
      <protection hidden="1"/>
    </xf>
    <xf numFmtId="0" fontId="16" fillId="0" borderId="0" xfId="0" applyFont="1" applyAlignment="1" applyProtection="1">
      <alignment vertical="center" wrapText="1"/>
      <protection hidden="1"/>
    </xf>
    <xf numFmtId="0" fontId="16" fillId="0" borderId="0" xfId="0" applyFont="1" applyAlignment="1" applyProtection="1">
      <alignment horizontal="left" vertical="center" wrapText="1"/>
      <protection hidden="1"/>
    </xf>
    <xf numFmtId="216" fontId="16" fillId="0" borderId="0" xfId="0" applyNumberFormat="1" applyFont="1" applyAlignment="1" applyProtection="1">
      <alignment horizontal="right" vertical="top" wrapText="1"/>
      <protection hidden="1"/>
    </xf>
    <xf numFmtId="0" fontId="23" fillId="0" borderId="0" xfId="0" applyFont="1" applyAlignment="1" applyProtection="1">
      <alignment horizontal="center" vertical="center"/>
      <protection hidden="1"/>
    </xf>
    <xf numFmtId="206" fontId="6" fillId="0" borderId="1" xfId="0" applyNumberFormat="1" applyFont="1" applyFill="1" applyBorder="1" applyAlignment="1" applyProtection="1">
      <alignment horizontal="centerContinuous" vertical="center"/>
      <protection hidden="1"/>
    </xf>
    <xf numFmtId="0" fontId="9"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protection hidden="1"/>
    </xf>
    <xf numFmtId="0" fontId="16" fillId="0" borderId="0" xfId="0" applyFont="1" applyAlignment="1" applyProtection="1">
      <alignment vertical="center"/>
      <protection hidden="1"/>
    </xf>
    <xf numFmtId="0" fontId="25" fillId="0" borderId="0" xfId="0" applyFont="1" applyAlignment="1" applyProtection="1">
      <alignment vertical="center"/>
      <protection hidden="1"/>
    </xf>
    <xf numFmtId="0" fontId="16" fillId="0" borderId="0" xfId="0" applyFont="1" applyAlignment="1" applyProtection="1">
      <alignment/>
      <protection hidden="1"/>
    </xf>
    <xf numFmtId="0" fontId="0" fillId="0" borderId="0" xfId="0" applyFont="1" applyAlignment="1" applyProtection="1">
      <alignment horizontal="right"/>
      <protection hidden="1"/>
    </xf>
    <xf numFmtId="0" fontId="0" fillId="0" borderId="1" xfId="0" applyBorder="1" applyAlignment="1" applyProtection="1">
      <alignment horizontal="center"/>
      <protection hidden="1"/>
    </xf>
    <xf numFmtId="0" fontId="7" fillId="0" borderId="17" xfId="0" applyFont="1" applyBorder="1" applyAlignment="1" applyProtection="1">
      <alignment horizontal="center"/>
      <protection hidden="1"/>
    </xf>
    <xf numFmtId="0" fontId="7" fillId="0" borderId="18" xfId="0" applyFont="1" applyBorder="1" applyAlignment="1" applyProtection="1">
      <alignment horizontal="center"/>
      <protection hidden="1"/>
    </xf>
    <xf numFmtId="0" fontId="7" fillId="3" borderId="19" xfId="0" applyFont="1" applyFill="1" applyBorder="1" applyAlignment="1" applyProtection="1">
      <alignment horizontal="center" vertical="center"/>
      <protection hidden="1"/>
    </xf>
    <xf numFmtId="0" fontId="0" fillId="0" borderId="3" xfId="0" applyBorder="1" applyAlignment="1" applyProtection="1">
      <alignment/>
      <protection hidden="1"/>
    </xf>
    <xf numFmtId="0" fontId="0" fillId="4" borderId="11" xfId="0" applyFill="1" applyBorder="1" applyAlignment="1" applyProtection="1">
      <alignment/>
      <protection hidden="1"/>
    </xf>
    <xf numFmtId="0" fontId="0" fillId="0" borderId="11" xfId="0" applyFill="1" applyBorder="1" applyAlignment="1" applyProtection="1">
      <alignment/>
      <protection hidden="1"/>
    </xf>
    <xf numFmtId="0" fontId="0" fillId="0" borderId="0" xfId="0" applyBorder="1" applyAlignment="1" applyProtection="1">
      <alignment/>
      <protection hidden="1"/>
    </xf>
    <xf numFmtId="0" fontId="7" fillId="3" borderId="20" xfId="0" applyFont="1" applyFill="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6" fillId="0" borderId="0" xfId="0" applyFont="1" applyAlignment="1" applyProtection="1">
      <alignment/>
      <protection hidden="1"/>
    </xf>
    <xf numFmtId="0" fontId="7" fillId="0" borderId="0" xfId="0" applyFont="1" applyBorder="1" applyAlignment="1" applyProtection="1">
      <alignment horizontal="center" vertical="center"/>
      <protection hidden="1"/>
    </xf>
    <xf numFmtId="0" fontId="0" fillId="0" borderId="22" xfId="0" applyFont="1" applyBorder="1" applyAlignment="1" applyProtection="1">
      <alignment horizontal="centerContinuous" vertical="center"/>
      <protection hidden="1"/>
    </xf>
    <xf numFmtId="0" fontId="0" fillId="0" borderId="23" xfId="0" applyFont="1" applyBorder="1" applyAlignment="1" applyProtection="1">
      <alignment horizontal="centerContinuous" vertical="center"/>
      <protection hidden="1"/>
    </xf>
    <xf numFmtId="187" fontId="6" fillId="0" borderId="24" xfId="0" applyNumberFormat="1" applyFont="1" applyBorder="1" applyAlignment="1" applyProtection="1">
      <alignment horizontal="centerContinuous" vertical="center"/>
      <protection hidden="1"/>
    </xf>
    <xf numFmtId="187" fontId="6" fillId="0" borderId="25" xfId="0" applyNumberFormat="1" applyFont="1" applyBorder="1" applyAlignment="1" applyProtection="1">
      <alignment horizontal="centerContinuous" vertical="center"/>
      <protection hidden="1"/>
    </xf>
    <xf numFmtId="213" fontId="8" fillId="5" borderId="24" xfId="0" applyNumberFormat="1" applyFont="1" applyFill="1" applyBorder="1" applyAlignment="1" applyProtection="1">
      <alignment horizontal="centerContinuous" vertical="center"/>
      <protection locked="0"/>
    </xf>
    <xf numFmtId="213" fontId="8" fillId="5" borderId="25" xfId="0" applyNumberFormat="1" applyFont="1" applyFill="1" applyBorder="1" applyAlignment="1" applyProtection="1">
      <alignment horizontal="centerContinuous" vertical="center"/>
      <protection locked="0"/>
    </xf>
    <xf numFmtId="214" fontId="8" fillId="5" borderId="24" xfId="0" applyNumberFormat="1" applyFont="1" applyFill="1" applyBorder="1" applyAlignment="1" applyProtection="1">
      <alignment horizontal="centerContinuous" vertical="center"/>
      <protection locked="0"/>
    </xf>
    <xf numFmtId="214" fontId="8" fillId="5" borderId="25" xfId="0" applyNumberFormat="1" applyFont="1" applyFill="1" applyBorder="1" applyAlignment="1" applyProtection="1">
      <alignment horizontal="centerContinuous" vertical="center"/>
      <protection locked="0"/>
    </xf>
    <xf numFmtId="208" fontId="6" fillId="0" borderId="24" xfId="0" applyNumberFormat="1" applyFont="1" applyFill="1" applyBorder="1" applyAlignment="1" applyProtection="1">
      <alignment horizontal="centerContinuous" vertical="center"/>
      <protection hidden="1"/>
    </xf>
    <xf numFmtId="208" fontId="6" fillId="0" borderId="25" xfId="0" applyNumberFormat="1" applyFont="1" applyFill="1" applyBorder="1" applyAlignment="1" applyProtection="1">
      <alignment horizontal="centerContinuous" vertical="center"/>
      <protection hidden="1"/>
    </xf>
    <xf numFmtId="208" fontId="6" fillId="0" borderId="26" xfId="0" applyNumberFormat="1" applyFont="1" applyFill="1" applyBorder="1" applyAlignment="1" applyProtection="1">
      <alignment horizontal="centerContinuous" vertical="center"/>
      <protection hidden="1"/>
    </xf>
    <xf numFmtId="208" fontId="6" fillId="0" borderId="27" xfId="0" applyNumberFormat="1" applyFont="1" applyFill="1" applyBorder="1" applyAlignment="1" applyProtection="1">
      <alignment horizontal="centerContinuous" vertical="center"/>
      <protection hidden="1"/>
    </xf>
    <xf numFmtId="0" fontId="28" fillId="0" borderId="0" xfId="0" applyFont="1" applyAlignment="1" applyProtection="1">
      <alignment vertical="center"/>
      <protection hidden="1"/>
    </xf>
    <xf numFmtId="0" fontId="4" fillId="0" borderId="28"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16" fillId="0" borderId="0" xfId="18" applyFont="1" applyAlignment="1" applyProtection="1">
      <alignment vertical="center"/>
      <protection hidden="1"/>
    </xf>
    <xf numFmtId="0" fontId="16" fillId="0" borderId="0" xfId="0" applyFont="1" applyAlignment="1" applyProtection="1" quotePrefix="1">
      <alignment horizontal="left" vertical="center"/>
      <protection hidden="1"/>
    </xf>
    <xf numFmtId="0" fontId="21" fillId="0" borderId="29" xfId="0" applyFont="1" applyFill="1" applyBorder="1" applyAlignment="1" applyProtection="1">
      <alignment horizontal="left"/>
      <protection hidden="1"/>
    </xf>
    <xf numFmtId="0" fontId="30" fillId="0" borderId="30" xfId="0" applyFont="1" applyFill="1" applyBorder="1" applyAlignment="1" applyProtection="1">
      <alignment vertical="center"/>
      <protection hidden="1"/>
    </xf>
    <xf numFmtId="0" fontId="16" fillId="0" borderId="30" xfId="0" applyFont="1" applyFill="1" applyBorder="1" applyAlignment="1" applyProtection="1">
      <alignment horizontal="center" vertical="top" wrapText="1"/>
      <protection hidden="1"/>
    </xf>
    <xf numFmtId="0" fontId="16" fillId="0" borderId="30" xfId="0" applyFont="1" applyFill="1" applyBorder="1" applyAlignment="1" applyProtection="1">
      <alignment horizontal="left" vertical="top" wrapText="1"/>
      <protection hidden="1"/>
    </xf>
    <xf numFmtId="0" fontId="21" fillId="0" borderId="31" xfId="0" applyFont="1" applyFill="1" applyBorder="1" applyAlignment="1" applyProtection="1">
      <alignment horizontal="right"/>
      <protection hidden="1"/>
    </xf>
    <xf numFmtId="0" fontId="21" fillId="0" borderId="32" xfId="0" applyFont="1" applyFill="1" applyBorder="1" applyAlignment="1" applyProtection="1">
      <alignment horizontal="left" vertical="center"/>
      <protection hidden="1"/>
    </xf>
    <xf numFmtId="0" fontId="16" fillId="0" borderId="33" xfId="0" applyFont="1" applyFill="1" applyBorder="1" applyAlignment="1" applyProtection="1">
      <alignment horizontal="center" vertical="top" wrapText="1"/>
      <protection hidden="1"/>
    </xf>
    <xf numFmtId="0" fontId="16" fillId="0" borderId="33" xfId="0" applyFont="1" applyFill="1" applyBorder="1" applyAlignment="1" applyProtection="1">
      <alignment horizontal="left" vertical="top" wrapText="1"/>
      <protection hidden="1"/>
    </xf>
    <xf numFmtId="0" fontId="21" fillId="0" borderId="34" xfId="0" applyFont="1" applyFill="1" applyBorder="1" applyAlignment="1" applyProtection="1">
      <alignment horizontal="right" vertical="center"/>
      <protection hidden="1"/>
    </xf>
    <xf numFmtId="0" fontId="21" fillId="0" borderId="35" xfId="0" applyFont="1" applyFill="1" applyBorder="1" applyAlignment="1" applyProtection="1">
      <alignment horizontal="left" vertical="center"/>
      <protection hidden="1"/>
    </xf>
    <xf numFmtId="0" fontId="16" fillId="0" borderId="36" xfId="0" applyFont="1" applyFill="1" applyBorder="1" applyAlignment="1" applyProtection="1">
      <alignment horizontal="center" vertical="top" wrapText="1"/>
      <protection hidden="1"/>
    </xf>
    <xf numFmtId="0" fontId="16" fillId="0" borderId="36" xfId="0" applyFont="1" applyFill="1" applyBorder="1" applyAlignment="1" applyProtection="1">
      <alignment horizontal="left" vertical="top" wrapText="1"/>
      <protection hidden="1"/>
    </xf>
    <xf numFmtId="0" fontId="21" fillId="0" borderId="37" xfId="0" applyFont="1" applyFill="1" applyBorder="1" applyAlignment="1" applyProtection="1">
      <alignment horizontal="right" vertical="center"/>
      <protection hidden="1"/>
    </xf>
    <xf numFmtId="0" fontId="31" fillId="0" borderId="0" xfId="0" applyFont="1" applyBorder="1" applyAlignment="1" applyProtection="1">
      <alignment horizontal="center" vertical="center" wrapText="1"/>
      <protection hidden="1"/>
    </xf>
    <xf numFmtId="0" fontId="31" fillId="0" borderId="0" xfId="0" applyFont="1" applyBorder="1" applyAlignment="1" applyProtection="1">
      <alignment vertical="center" wrapText="1"/>
      <protection hidden="1"/>
    </xf>
    <xf numFmtId="0" fontId="16" fillId="0" borderId="0" xfId="0" applyFont="1" applyBorder="1" applyAlignment="1" applyProtection="1">
      <alignment/>
      <protection hidden="1"/>
    </xf>
    <xf numFmtId="0" fontId="30" fillId="0" borderId="0" xfId="0" applyFont="1" applyBorder="1" applyAlignment="1" applyProtection="1">
      <alignment vertical="center"/>
      <protection hidden="1"/>
    </xf>
    <xf numFmtId="0" fontId="34" fillId="0" borderId="0" xfId="0" applyFont="1" applyBorder="1" applyAlignment="1" applyProtection="1">
      <alignment vertical="center"/>
      <protection hidden="1"/>
    </xf>
    <xf numFmtId="0" fontId="29" fillId="0" borderId="0" xfId="0" applyFont="1" applyBorder="1" applyAlignment="1" applyProtection="1">
      <alignment vertical="center" wrapText="1"/>
      <protection hidden="1"/>
    </xf>
    <xf numFmtId="0" fontId="36" fillId="0" borderId="0" xfId="0" applyFont="1" applyBorder="1" applyAlignment="1" applyProtection="1">
      <alignment vertical="center"/>
      <protection hidden="1"/>
    </xf>
    <xf numFmtId="0" fontId="35" fillId="0" borderId="0" xfId="0" applyFont="1" applyBorder="1" applyAlignment="1" applyProtection="1">
      <alignment vertical="center" wrapText="1"/>
      <protection hidden="1"/>
    </xf>
    <xf numFmtId="0" fontId="16" fillId="0" borderId="0" xfId="0" applyFont="1" applyAlignment="1" applyProtection="1">
      <alignment vertical="top"/>
      <protection hidden="1"/>
    </xf>
    <xf numFmtId="0" fontId="21" fillId="0" borderId="0" xfId="0" applyFont="1" applyAlignment="1" applyProtection="1">
      <alignment vertical="top"/>
      <protection hidden="1"/>
    </xf>
    <xf numFmtId="0" fontId="16" fillId="0" borderId="0" xfId="0" applyFont="1" applyAlignment="1" applyProtection="1">
      <alignment horizontal="justify" vertical="center"/>
      <protection hidden="1"/>
    </xf>
    <xf numFmtId="0" fontId="16" fillId="0" borderId="0" xfId="0" applyFont="1" applyAlignment="1" applyProtection="1">
      <alignment horizontal="right" vertical="center"/>
      <protection hidden="1"/>
    </xf>
    <xf numFmtId="0" fontId="37" fillId="0" borderId="0" xfId="0" applyFont="1" applyAlignment="1" applyProtection="1">
      <alignment/>
      <protection hidden="1"/>
    </xf>
    <xf numFmtId="0" fontId="29" fillId="0" borderId="0" xfId="0" applyFont="1" applyAlignment="1" applyProtection="1">
      <alignment/>
      <protection hidden="1"/>
    </xf>
    <xf numFmtId="0" fontId="32" fillId="0" borderId="0" xfId="0" applyFont="1" applyAlignment="1" applyProtection="1">
      <alignment horizontal="center" vertical="center"/>
      <protection hidden="1"/>
    </xf>
    <xf numFmtId="0" fontId="29" fillId="0" borderId="0" xfId="0" applyFont="1" applyAlignment="1" applyProtection="1">
      <alignment vertical="center" wrapText="1"/>
      <protection hidden="1"/>
    </xf>
    <xf numFmtId="0" fontId="35" fillId="0" borderId="0" xfId="0" applyFont="1" applyAlignment="1" applyProtection="1">
      <alignment vertical="center" wrapText="1"/>
      <protection hidden="1"/>
    </xf>
    <xf numFmtId="216" fontId="29" fillId="0" borderId="0" xfId="0" applyNumberFormat="1" applyFont="1" applyAlignment="1" applyProtection="1">
      <alignment horizontal="right" vertical="top" wrapText="1"/>
      <protection hidden="1"/>
    </xf>
    <xf numFmtId="216" fontId="35" fillId="0" borderId="0" xfId="0" applyNumberFormat="1" applyFont="1" applyAlignment="1" applyProtection="1">
      <alignment horizontal="right" vertical="top" wrapText="1"/>
      <protection hidden="1"/>
    </xf>
    <xf numFmtId="216" fontId="29" fillId="0" borderId="0" xfId="0" applyNumberFormat="1" applyFont="1" applyAlignment="1" applyProtection="1">
      <alignment vertical="top" wrapText="1"/>
      <protection hidden="1"/>
    </xf>
    <xf numFmtId="216" fontId="35" fillId="0" borderId="0" xfId="0" applyNumberFormat="1" applyFont="1" applyAlignment="1" applyProtection="1">
      <alignment vertical="top" wrapText="1"/>
      <protection hidden="1"/>
    </xf>
    <xf numFmtId="0" fontId="0" fillId="0" borderId="30" xfId="0" applyFill="1" applyBorder="1" applyAlignment="1" applyProtection="1">
      <alignment/>
      <protection hidden="1"/>
    </xf>
    <xf numFmtId="0" fontId="0" fillId="0" borderId="33" xfId="0" applyFill="1" applyBorder="1" applyAlignment="1" applyProtection="1">
      <alignment/>
      <protection hidden="1"/>
    </xf>
    <xf numFmtId="0" fontId="32" fillId="0" borderId="33" xfId="0" applyFont="1" applyFill="1" applyBorder="1" applyAlignment="1" applyProtection="1">
      <alignment vertical="center"/>
      <protection hidden="1"/>
    </xf>
    <xf numFmtId="0" fontId="0" fillId="0" borderId="36" xfId="0" applyFill="1" applyBorder="1" applyAlignment="1" applyProtection="1">
      <alignment/>
      <protection hidden="1"/>
    </xf>
    <xf numFmtId="0" fontId="32" fillId="0" borderId="36" xfId="0" applyFont="1" applyFill="1" applyBorder="1" applyAlignment="1" applyProtection="1">
      <alignment vertical="center"/>
      <protection hidden="1"/>
    </xf>
    <xf numFmtId="0" fontId="0" fillId="0" borderId="0" xfId="0" applyBorder="1" applyAlignment="1" applyProtection="1">
      <alignment vertical="center"/>
      <protection hidden="1"/>
    </xf>
    <xf numFmtId="0" fontId="27" fillId="0" borderId="0" xfId="0" applyFont="1" applyAlignment="1" applyProtection="1">
      <alignment horizontal="left" vertical="center"/>
      <protection hidden="1"/>
    </xf>
    <xf numFmtId="0" fontId="33" fillId="5" borderId="38" xfId="0" applyFont="1" applyFill="1" applyBorder="1" applyAlignment="1" applyProtection="1">
      <alignment vertical="center"/>
      <protection locked="0"/>
    </xf>
    <xf numFmtId="0" fontId="33" fillId="5" borderId="39" xfId="0" applyFont="1" applyFill="1" applyBorder="1" applyAlignment="1" applyProtection="1">
      <alignment vertical="center"/>
      <protection locked="0"/>
    </xf>
    <xf numFmtId="0" fontId="33" fillId="5" borderId="40" xfId="0" applyFont="1" applyFill="1" applyBorder="1" applyAlignment="1" applyProtection="1">
      <alignment vertical="center"/>
      <protection locked="0"/>
    </xf>
    <xf numFmtId="0" fontId="21" fillId="0" borderId="0" xfId="0" applyFont="1" applyAlignment="1" applyProtection="1">
      <alignment vertical="center"/>
      <protection hidden="1"/>
    </xf>
    <xf numFmtId="0" fontId="21" fillId="0" borderId="0" xfId="0" applyFont="1" applyBorder="1" applyAlignment="1" applyProtection="1">
      <alignment vertical="center"/>
      <protection hidden="1"/>
    </xf>
    <xf numFmtId="0" fontId="21" fillId="0" borderId="0" xfId="0" applyFont="1" applyAlignment="1" applyProtection="1">
      <alignment horizontal="left" vertical="center"/>
      <protection hidden="1"/>
    </xf>
    <xf numFmtId="0" fontId="0" fillId="0" borderId="41" xfId="0" applyBorder="1" applyAlignment="1" applyProtection="1">
      <alignment vertical="center" wrapText="1"/>
      <protection hidden="1"/>
    </xf>
    <xf numFmtId="0" fontId="0" fillId="0" borderId="42" xfId="0" applyBorder="1" applyAlignment="1" applyProtection="1">
      <alignment vertical="center" wrapText="1"/>
      <protection hidden="1"/>
    </xf>
    <xf numFmtId="0" fontId="0" fillId="0" borderId="43" xfId="0" applyFont="1" applyBorder="1" applyAlignment="1" applyProtection="1" quotePrefix="1">
      <alignment vertical="center" wrapText="1"/>
      <protection hidden="1"/>
    </xf>
    <xf numFmtId="0" fontId="0" fillId="0" borderId="44" xfId="0" applyFont="1" applyBorder="1" applyAlignment="1" applyProtection="1" quotePrefix="1">
      <alignment vertical="center" wrapText="1"/>
      <protection hidden="1"/>
    </xf>
    <xf numFmtId="0" fontId="7" fillId="0" borderId="0" xfId="0" applyFont="1" applyAlignment="1" applyProtection="1">
      <alignment horizontal="centerContinuous" vertical="center"/>
      <protection hidden="1"/>
    </xf>
    <xf numFmtId="0" fontId="7" fillId="0" borderId="0" xfId="0" applyFont="1" applyAlignment="1" applyProtection="1">
      <alignment horizontal="center" vertical="center"/>
      <protection hidden="1"/>
    </xf>
    <xf numFmtId="1" fontId="8" fillId="5" borderId="1" xfId="0" applyNumberFormat="1" applyFont="1" applyFill="1" applyBorder="1" applyAlignment="1" applyProtection="1">
      <alignment horizontal="centerContinuous" vertical="center"/>
      <protection locked="0"/>
    </xf>
    <xf numFmtId="1" fontId="8" fillId="5" borderId="18" xfId="0" applyNumberFormat="1" applyFont="1" applyFill="1" applyBorder="1" applyAlignment="1" applyProtection="1">
      <alignment horizontal="centerContinuous" vertical="center"/>
      <protection locked="0"/>
    </xf>
    <xf numFmtId="197" fontId="8" fillId="5" borderId="8" xfId="0" applyNumberFormat="1" applyFont="1" applyFill="1" applyBorder="1" applyAlignment="1" applyProtection="1">
      <alignment horizontal="centerContinuous" vertical="center"/>
      <protection locked="0"/>
    </xf>
    <xf numFmtId="197" fontId="8" fillId="5" borderId="5" xfId="0" applyNumberFormat="1" applyFont="1" applyFill="1" applyBorder="1" applyAlignment="1" applyProtection="1">
      <alignment horizontal="centerContinuous" vertical="center"/>
      <protection locked="0"/>
    </xf>
    <xf numFmtId="0" fontId="8" fillId="5" borderId="8" xfId="0" applyFont="1" applyFill="1" applyBorder="1" applyAlignment="1" applyProtection="1">
      <alignment horizontal="centerContinuous" vertical="center"/>
      <protection locked="0"/>
    </xf>
    <xf numFmtId="0" fontId="8" fillId="5" borderId="5" xfId="0" applyFont="1" applyFill="1" applyBorder="1" applyAlignment="1" applyProtection="1">
      <alignment horizontal="centerContinuous" vertical="center"/>
      <protection locked="0"/>
    </xf>
    <xf numFmtId="0" fontId="22" fillId="0" borderId="0" xfId="0" applyFont="1" applyAlignment="1" applyProtection="1">
      <alignment/>
      <protection hidden="1"/>
    </xf>
    <xf numFmtId="0" fontId="9" fillId="0" borderId="0" xfId="0" applyFont="1" applyAlignment="1" applyProtection="1">
      <alignment/>
      <protection hidden="1"/>
    </xf>
    <xf numFmtId="194" fontId="8" fillId="5" borderId="16" xfId="0" applyNumberFormat="1" applyFont="1" applyFill="1" applyBorder="1" applyAlignment="1" applyProtection="1">
      <alignment horizontal="center" vertical="center"/>
      <protection locked="0"/>
    </xf>
    <xf numFmtId="230" fontId="8" fillId="5" borderId="15" xfId="0" applyNumberFormat="1" applyFont="1" applyFill="1" applyBorder="1" applyAlignment="1" applyProtection="1">
      <alignment horizontal="center" vertical="center"/>
      <protection locked="0"/>
    </xf>
    <xf numFmtId="230" fontId="8" fillId="5" borderId="16"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16" fillId="2" borderId="45" xfId="0" applyFont="1" applyFill="1" applyBorder="1" applyAlignment="1" applyProtection="1">
      <alignment horizontal="right" vertical="center"/>
      <protection hidden="1"/>
    </xf>
    <xf numFmtId="1" fontId="16" fillId="0" borderId="46" xfId="0" applyNumberFormat="1" applyFont="1" applyBorder="1" applyAlignment="1" applyProtection="1">
      <alignment horizontal="center" vertical="center"/>
      <protection hidden="1"/>
    </xf>
    <xf numFmtId="0" fontId="16" fillId="0" borderId="15" xfId="0" applyFont="1" applyBorder="1" applyAlignment="1" applyProtection="1">
      <alignment/>
      <protection hidden="1"/>
    </xf>
    <xf numFmtId="0" fontId="16" fillId="2" borderId="47" xfId="0" applyFont="1" applyFill="1" applyBorder="1" applyAlignment="1" applyProtection="1">
      <alignment horizontal="right" vertical="center"/>
      <protection hidden="1"/>
    </xf>
    <xf numFmtId="194" fontId="16" fillId="0" borderId="48" xfId="0" applyNumberFormat="1" applyFont="1" applyBorder="1" applyAlignment="1" applyProtection="1">
      <alignment horizontal="center" vertical="center"/>
      <protection hidden="1"/>
    </xf>
    <xf numFmtId="0" fontId="16" fillId="0" borderId="47" xfId="0" applyFont="1" applyBorder="1" applyAlignment="1" applyProtection="1">
      <alignment horizontal="right" vertical="center"/>
      <protection hidden="1"/>
    </xf>
    <xf numFmtId="0" fontId="14" fillId="2" borderId="47" xfId="0" applyFont="1" applyFill="1" applyBorder="1" applyAlignment="1" applyProtection="1" quotePrefix="1">
      <alignment horizontal="right" vertical="center"/>
      <protection hidden="1"/>
    </xf>
    <xf numFmtId="212" fontId="16" fillId="0" borderId="48" xfId="0" applyNumberFormat="1" applyFont="1" applyBorder="1" applyAlignment="1" applyProtection="1">
      <alignment horizontal="center" vertical="center"/>
      <protection hidden="1"/>
    </xf>
    <xf numFmtId="0" fontId="16" fillId="0" borderId="48" xfId="0" applyFont="1" applyBorder="1" applyAlignment="1" applyProtection="1">
      <alignment horizontal="center" vertical="center"/>
      <protection hidden="1"/>
    </xf>
    <xf numFmtId="0" fontId="16" fillId="2" borderId="47" xfId="0" applyFont="1" applyFill="1" applyBorder="1" applyAlignment="1" applyProtection="1" quotePrefix="1">
      <alignment horizontal="right" vertical="center"/>
      <protection hidden="1"/>
    </xf>
    <xf numFmtId="187" fontId="16" fillId="0" borderId="48" xfId="0" applyNumberFormat="1" applyFont="1" applyBorder="1" applyAlignment="1" applyProtection="1">
      <alignment horizontal="center" vertical="center"/>
      <protection hidden="1"/>
    </xf>
    <xf numFmtId="2" fontId="16" fillId="0" borderId="48" xfId="0" applyNumberFormat="1" applyFont="1" applyBorder="1" applyAlignment="1" applyProtection="1">
      <alignment horizontal="center" vertical="center"/>
      <protection hidden="1"/>
    </xf>
    <xf numFmtId="226" fontId="16" fillId="0" borderId="48" xfId="0" applyNumberFormat="1" applyFont="1" applyBorder="1" applyAlignment="1" applyProtection="1">
      <alignment horizontal="center" vertical="center"/>
      <protection hidden="1"/>
    </xf>
    <xf numFmtId="1" fontId="16" fillId="0" borderId="48" xfId="0" applyNumberFormat="1" applyFont="1" applyBorder="1" applyAlignment="1" applyProtection="1">
      <alignment horizontal="center" vertical="center"/>
      <protection hidden="1"/>
    </xf>
    <xf numFmtId="1" fontId="16" fillId="0" borderId="48" xfId="0" applyNumberFormat="1" applyFont="1" applyFill="1" applyBorder="1" applyAlignment="1" applyProtection="1">
      <alignment horizontal="center" vertical="center"/>
      <protection hidden="1"/>
    </xf>
    <xf numFmtId="0" fontId="16" fillId="0" borderId="12" xfId="0" applyFont="1" applyBorder="1" applyAlignment="1" applyProtection="1">
      <alignment horizontal="right" vertical="center"/>
      <protection hidden="1"/>
    </xf>
    <xf numFmtId="0" fontId="35" fillId="0" borderId="49" xfId="0" applyFont="1" applyFill="1" applyBorder="1" applyAlignment="1" applyProtection="1">
      <alignment horizontal="center" vertical="center"/>
      <protection locked="0"/>
    </xf>
    <xf numFmtId="0" fontId="16" fillId="0" borderId="50" xfId="0" applyFont="1" applyBorder="1" applyAlignment="1" applyProtection="1">
      <alignment vertical="center"/>
      <protection hidden="1"/>
    </xf>
    <xf numFmtId="0" fontId="16" fillId="0" borderId="15" xfId="0" applyFont="1" applyBorder="1" applyAlignment="1" applyProtection="1">
      <alignment vertical="center"/>
      <protection hidden="1"/>
    </xf>
    <xf numFmtId="197" fontId="16" fillId="0" borderId="15" xfId="0" applyNumberFormat="1" applyFont="1" applyBorder="1" applyAlignment="1" applyProtection="1">
      <alignment vertical="center"/>
      <protection hidden="1"/>
    </xf>
    <xf numFmtId="0" fontId="16" fillId="0" borderId="9" xfId="0" applyFont="1" applyBorder="1" applyAlignment="1" applyProtection="1">
      <alignment vertical="center"/>
      <protection hidden="1"/>
    </xf>
    <xf numFmtId="0" fontId="4" fillId="0" borderId="0" xfId="0" applyFont="1" applyAlignment="1" applyProtection="1">
      <alignment horizontal="left"/>
      <protection hidden="1"/>
    </xf>
    <xf numFmtId="0" fontId="0" fillId="0" borderId="0" xfId="0" applyAlignment="1" applyProtection="1">
      <alignment horizontal="left"/>
      <protection hidden="1"/>
    </xf>
    <xf numFmtId="0" fontId="16" fillId="0" borderId="0" xfId="0" applyFont="1" applyAlignment="1" applyProtection="1">
      <alignment horizontal="left"/>
      <protection hidden="1"/>
    </xf>
    <xf numFmtId="0" fontId="15" fillId="0" borderId="51" xfId="0" applyFont="1" applyBorder="1" applyAlignment="1" applyProtection="1" quotePrefix="1">
      <alignment horizontal="left"/>
      <protection hidden="1"/>
    </xf>
    <xf numFmtId="0" fontId="15" fillId="0" borderId="16" xfId="0" applyFont="1" applyBorder="1" applyAlignment="1" applyProtection="1">
      <alignment horizontal="left"/>
      <protection hidden="1"/>
    </xf>
    <xf numFmtId="1" fontId="15" fillId="0" borderId="16" xfId="0" applyNumberFormat="1" applyFont="1" applyBorder="1" applyAlignment="1" applyProtection="1">
      <alignment horizontal="left"/>
      <protection hidden="1"/>
    </xf>
    <xf numFmtId="0" fontId="15" fillId="0" borderId="7" xfId="0" applyFont="1" applyBorder="1" applyAlignment="1" applyProtection="1">
      <alignment horizontal="left"/>
      <protection hidden="1"/>
    </xf>
    <xf numFmtId="0" fontId="4"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16" fillId="0" borderId="0" xfId="0" applyFont="1" applyAlignment="1" applyProtection="1">
      <alignment horizontal="center" vertical="center"/>
      <protection hidden="1"/>
    </xf>
    <xf numFmtId="187" fontId="8" fillId="5" borderId="5" xfId="0" applyNumberFormat="1" applyFont="1" applyFill="1" applyBorder="1" applyAlignment="1" applyProtection="1">
      <alignment horizontal="centerContinuous" vertical="center"/>
      <protection locked="0"/>
    </xf>
    <xf numFmtId="0" fontId="8" fillId="3" borderId="0" xfId="0" applyFont="1" applyFill="1" applyAlignment="1" applyProtection="1" quotePrefix="1">
      <alignment horizontal="left" vertical="center"/>
      <protection hidden="1"/>
    </xf>
    <xf numFmtId="0" fontId="8" fillId="3" borderId="0" xfId="0" applyFont="1" applyFill="1" applyAlignment="1" applyProtection="1" quotePrefix="1">
      <alignment horizontal="left"/>
      <protection hidden="1"/>
    </xf>
    <xf numFmtId="0" fontId="6" fillId="3" borderId="0" xfId="0" applyFont="1" applyFill="1" applyAlignment="1" applyProtection="1">
      <alignment horizontal="left" vertical="center"/>
      <protection hidden="1"/>
    </xf>
    <xf numFmtId="188" fontId="16" fillId="0" borderId="48" xfId="0" applyNumberFormat="1" applyFont="1" applyBorder="1" applyAlignment="1" applyProtection="1">
      <alignment horizontal="center" vertical="center"/>
      <protection hidden="1"/>
    </xf>
    <xf numFmtId="186" fontId="16" fillId="0" borderId="48" xfId="0" applyNumberFormat="1" applyFont="1" applyBorder="1" applyAlignment="1" applyProtection="1">
      <alignment horizontal="center" vertical="center"/>
      <protection hidden="1"/>
    </xf>
    <xf numFmtId="0" fontId="16" fillId="0" borderId="0" xfId="0"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0" fontId="35" fillId="0" borderId="0" xfId="0" applyFont="1" applyBorder="1" applyAlignment="1" applyProtection="1">
      <alignment horizontal="left" vertical="center" wrapText="1"/>
      <protection hidden="1"/>
    </xf>
    <xf numFmtId="0" fontId="21" fillId="4" borderId="0" xfId="0" applyFont="1" applyFill="1" applyBorder="1" applyAlignment="1" applyProtection="1">
      <alignment horizontal="left" vertical="center" wrapText="1"/>
      <protection hidden="1"/>
    </xf>
    <xf numFmtId="0" fontId="32" fillId="5" borderId="52" xfId="0" applyFont="1" applyFill="1" applyBorder="1" applyAlignment="1" applyProtection="1">
      <alignment horizontal="center" vertical="center"/>
      <protection locked="0"/>
    </xf>
    <xf numFmtId="0" fontId="32" fillId="5" borderId="53" xfId="0" applyFont="1" applyFill="1" applyBorder="1" applyAlignment="1" applyProtection="1">
      <alignment horizontal="center" vertical="center"/>
      <protection locked="0"/>
    </xf>
    <xf numFmtId="0" fontId="32" fillId="5" borderId="54" xfId="0" applyFont="1" applyFill="1" applyBorder="1" applyAlignment="1" applyProtection="1">
      <alignment horizontal="center" vertical="center"/>
      <protection locked="0"/>
    </xf>
    <xf numFmtId="0" fontId="16" fillId="0" borderId="0" xfId="0" applyFont="1" applyAlignment="1" applyProtection="1">
      <alignment horizontal="left" vertical="top" wrapText="1"/>
      <protection hidden="1"/>
    </xf>
    <xf numFmtId="0" fontId="31" fillId="0" borderId="55"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29" fillId="0" borderId="0" xfId="0" applyFont="1" applyAlignment="1" applyProtection="1">
      <alignment horizontal="left" vertical="center" wrapText="1"/>
      <protection hidden="1"/>
    </xf>
    <xf numFmtId="0" fontId="35" fillId="0" borderId="0" xfId="0" applyFont="1" applyAlignment="1" applyProtection="1">
      <alignment horizontal="left" vertical="center" wrapText="1"/>
      <protection hidden="1"/>
    </xf>
    <xf numFmtId="0" fontId="32" fillId="0" borderId="0" xfId="0" applyFont="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justify" vertical="top" wrapText="1"/>
      <protection hidden="1"/>
    </xf>
    <xf numFmtId="0" fontId="8" fillId="5" borderId="0" xfId="0" applyFont="1" applyFill="1" applyAlignment="1" applyProtection="1">
      <alignment horizontal="left" vertical="center"/>
      <protection locked="0"/>
    </xf>
    <xf numFmtId="0" fontId="8" fillId="5" borderId="0" xfId="0" applyFont="1" applyFill="1" applyAlignment="1" applyProtection="1" quotePrefix="1">
      <alignment horizontal="left" vertical="center"/>
      <protection locked="0"/>
    </xf>
    <xf numFmtId="0" fontId="18" fillId="5" borderId="0" xfId="0" applyFont="1" applyFill="1" applyAlignment="1" applyProtection="1">
      <alignment horizontal="left" vertical="top" wrapText="1"/>
      <protection locked="0"/>
    </xf>
    <xf numFmtId="194" fontId="8" fillId="5" borderId="15" xfId="0" applyNumberFormat="1" applyFont="1" applyFill="1" applyBorder="1" applyAlignment="1" applyProtection="1">
      <alignment horizontal="center" vertical="center"/>
      <protection locked="0"/>
    </xf>
    <xf numFmtId="212" fontId="8" fillId="5" borderId="15" xfId="0" applyNumberFormat="1" applyFont="1" applyFill="1" applyBorder="1" applyAlignment="1" applyProtection="1">
      <alignment horizontal="center" vertical="center"/>
      <protection locked="0"/>
    </xf>
    <xf numFmtId="212" fontId="8" fillId="5" borderId="16" xfId="0" applyNumberFormat="1" applyFont="1" applyFill="1" applyBorder="1" applyAlignment="1" applyProtection="1">
      <alignment horizontal="center" vertical="center"/>
      <protection locked="0"/>
    </xf>
    <xf numFmtId="197" fontId="8" fillId="5" borderId="15" xfId="0" applyNumberFormat="1" applyFont="1" applyFill="1" applyBorder="1" applyAlignment="1" applyProtection="1">
      <alignment horizontal="center" vertical="center"/>
      <protection locked="0"/>
    </xf>
    <xf numFmtId="197" fontId="8" fillId="5" borderId="16" xfId="0" applyNumberFormat="1" applyFont="1" applyFill="1" applyBorder="1" applyAlignment="1" applyProtection="1">
      <alignment horizontal="center" vertical="center"/>
      <protection locked="0"/>
    </xf>
    <xf numFmtId="199" fontId="8" fillId="5" borderId="15" xfId="0" applyNumberFormat="1" applyFont="1" applyFill="1" applyBorder="1" applyAlignment="1" applyProtection="1">
      <alignment horizontal="center" vertical="center"/>
      <protection locked="0"/>
    </xf>
    <xf numFmtId="199" fontId="8" fillId="5" borderId="16" xfId="0" applyNumberFormat="1" applyFont="1" applyFill="1" applyBorder="1" applyAlignment="1" applyProtection="1">
      <alignment horizontal="center" vertical="center"/>
      <protection locked="0"/>
    </xf>
    <xf numFmtId="226" fontId="8" fillId="5" borderId="9" xfId="0" applyNumberFormat="1" applyFont="1" applyFill="1" applyBorder="1" applyAlignment="1" applyProtection="1">
      <alignment horizontal="center" vertical="center"/>
      <protection locked="0"/>
    </xf>
    <xf numFmtId="226" fontId="8" fillId="5" borderId="7" xfId="0" applyNumberFormat="1" applyFont="1" applyFill="1" applyBorder="1" applyAlignment="1" applyProtection="1">
      <alignment horizontal="center" vertical="center"/>
      <protection locked="0"/>
    </xf>
    <xf numFmtId="0" fontId="6" fillId="3" borderId="0" xfId="0" applyFont="1" applyFill="1" applyAlignment="1" applyProtection="1" quotePrefix="1">
      <alignment horizontal="left" vertical="center"/>
      <protection hidden="1"/>
    </xf>
    <xf numFmtId="0" fontId="8" fillId="5" borderId="56" xfId="0" applyNumberFormat="1" applyFont="1" applyFill="1" applyBorder="1" applyAlignment="1" applyProtection="1">
      <alignment horizontal="center" vertical="center"/>
      <protection locked="0"/>
    </xf>
    <xf numFmtId="207" fontId="8" fillId="5" borderId="56" xfId="0" applyNumberFormat="1"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hidden="1"/>
    </xf>
    <xf numFmtId="0" fontId="12" fillId="3" borderId="19" xfId="0" applyFont="1" applyFill="1" applyBorder="1" applyAlignment="1" applyProtection="1">
      <alignment horizontal="center" vertical="center"/>
      <protection hidden="1"/>
    </xf>
    <xf numFmtId="0" fontId="0" fillId="0" borderId="57" xfId="0" applyFont="1" applyFill="1" applyBorder="1" applyAlignment="1" applyProtection="1">
      <alignment horizontal="center" vertical="center"/>
      <protection hidden="1"/>
    </xf>
    <xf numFmtId="0" fontId="0" fillId="0" borderId="58" xfId="0" applyFont="1" applyBorder="1" applyAlignment="1" applyProtection="1" quotePrefix="1">
      <alignment horizontal="center" vertical="center"/>
      <protection hidden="1"/>
    </xf>
    <xf numFmtId="0" fontId="6" fillId="6" borderId="59" xfId="0" applyNumberFormat="1" applyFont="1" applyFill="1" applyBorder="1" applyAlignment="1" applyProtection="1">
      <alignment horizontal="left" vertical="center"/>
      <protection hidden="1"/>
    </xf>
    <xf numFmtId="0" fontId="6" fillId="6" borderId="56" xfId="0" applyNumberFormat="1" applyFont="1" applyFill="1" applyBorder="1" applyAlignment="1" applyProtection="1">
      <alignment horizontal="left" vertical="center"/>
      <protection hidden="1"/>
    </xf>
    <xf numFmtId="0" fontId="0" fillId="0" borderId="60" xfId="0" applyFont="1" applyBorder="1" applyAlignment="1" applyProtection="1" quotePrefix="1">
      <alignment horizontal="center" vertical="center"/>
      <protection hidden="1"/>
    </xf>
    <xf numFmtId="0" fontId="0" fillId="0" borderId="61" xfId="0" applyFont="1" applyFill="1" applyBorder="1" applyAlignment="1" applyProtection="1">
      <alignment horizontal="left" vertical="center"/>
      <protection hidden="1"/>
    </xf>
    <xf numFmtId="0" fontId="0" fillId="0" borderId="58" xfId="0" applyFont="1" applyFill="1" applyBorder="1" applyAlignment="1" applyProtection="1">
      <alignment horizontal="left" vertical="center"/>
      <protection hidden="1"/>
    </xf>
    <xf numFmtId="0" fontId="0" fillId="0" borderId="56"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4" borderId="20" xfId="0" applyFont="1" applyFill="1" applyBorder="1" applyAlignment="1" applyProtection="1">
      <alignment horizontal="center" vertical="center"/>
      <protection hidden="1"/>
    </xf>
    <xf numFmtId="0" fontId="8" fillId="5" borderId="14" xfId="0" applyNumberFormat="1" applyFont="1" applyFill="1" applyBorder="1" applyAlignment="1" applyProtection="1">
      <alignment horizontal="center" vertical="center"/>
      <protection locked="0"/>
    </xf>
    <xf numFmtId="0" fontId="21" fillId="0" borderId="62" xfId="0" applyFont="1" applyBorder="1" applyAlignment="1" applyProtection="1">
      <alignment horizontal="center" vertical="center"/>
      <protection hidden="1"/>
    </xf>
    <xf numFmtId="197" fontId="6" fillId="6" borderId="24" xfId="0" applyNumberFormat="1" applyFont="1" applyFill="1" applyBorder="1" applyAlignment="1" applyProtection="1">
      <alignment horizontal="center" vertical="center"/>
      <protection hidden="1"/>
    </xf>
    <xf numFmtId="197" fontId="6" fillId="6" borderId="25" xfId="0" applyNumberFormat="1" applyFont="1" applyFill="1" applyBorder="1" applyAlignment="1" applyProtection="1">
      <alignment horizontal="center" vertical="center"/>
      <protection hidden="1"/>
    </xf>
    <xf numFmtId="199" fontId="8" fillId="5" borderId="24" xfId="0" applyNumberFormat="1" applyFont="1" applyFill="1" applyBorder="1" applyAlignment="1" applyProtection="1">
      <alignment horizontal="center" vertical="center"/>
      <protection locked="0"/>
    </xf>
    <xf numFmtId="199" fontId="8" fillId="5" borderId="25" xfId="0" applyNumberFormat="1" applyFont="1" applyFill="1" applyBorder="1" applyAlignment="1" applyProtection="1">
      <alignment horizontal="center" vertical="center"/>
      <protection locked="0"/>
    </xf>
    <xf numFmtId="0" fontId="21" fillId="3" borderId="19" xfId="0" applyFont="1" applyFill="1" applyBorder="1" applyAlignment="1" applyProtection="1">
      <alignment horizontal="center" vertical="center"/>
      <protection hidden="1"/>
    </xf>
    <xf numFmtId="0" fontId="0" fillId="0" borderId="63"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63" xfId="0" applyBorder="1" applyAlignment="1" applyProtection="1" quotePrefix="1">
      <alignment horizontal="center" vertical="center" wrapText="1"/>
      <protection hidden="1"/>
    </xf>
    <xf numFmtId="0" fontId="0" fillId="0" borderId="64" xfId="0" applyBorder="1" applyAlignment="1" applyProtection="1" quotePrefix="1">
      <alignment horizontal="center" vertical="center" wrapText="1"/>
      <protection hidden="1"/>
    </xf>
    <xf numFmtId="0" fontId="0" fillId="0" borderId="65" xfId="0" applyFont="1" applyBorder="1" applyAlignment="1" applyProtection="1">
      <alignment horizontal="left"/>
      <protection hidden="1"/>
    </xf>
    <xf numFmtId="0" fontId="0" fillId="0" borderId="24" xfId="0" applyFont="1" applyBorder="1" applyAlignment="1" applyProtection="1">
      <alignment horizontal="left"/>
      <protection hidden="1"/>
    </xf>
    <xf numFmtId="0" fontId="0" fillId="0" borderId="66" xfId="0" applyFont="1" applyBorder="1" applyAlignment="1" applyProtection="1">
      <alignment horizontal="left"/>
      <protection hidden="1"/>
    </xf>
    <xf numFmtId="0" fontId="0" fillId="0" borderId="26" xfId="0" applyFont="1" applyBorder="1" applyAlignment="1" applyProtection="1">
      <alignment horizontal="lef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ven-kutay.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Z45"/>
  <sheetViews>
    <sheetView showGridLines="0" showRowColHeaders="0" tabSelected="1" workbookViewId="0" topLeftCell="A1">
      <selection activeCell="H8" sqref="H8:H10"/>
    </sheetView>
  </sheetViews>
  <sheetFormatPr defaultColWidth="11.421875" defaultRowHeight="15" customHeight="1"/>
  <cols>
    <col min="1" max="1" width="3.57421875" style="1" customWidth="1"/>
    <col min="2" max="2" width="12.28125" style="1" customWidth="1"/>
    <col min="3" max="16" width="10.7109375" style="1" customWidth="1"/>
    <col min="17" max="17" width="4.140625" style="1" customWidth="1"/>
    <col min="18" max="18" width="10.7109375" style="1" customWidth="1"/>
    <col min="19" max="20" width="10.7109375" style="9" customWidth="1"/>
    <col min="21" max="16384" width="11.421875" style="9" customWidth="1"/>
  </cols>
  <sheetData>
    <row r="1" spans="1:20" s="4" customFormat="1" ht="18" customHeight="1">
      <c r="A1" s="114"/>
      <c r="B1" s="144"/>
      <c r="C1" s="116"/>
      <c r="D1" s="116"/>
      <c r="E1" s="116"/>
      <c r="F1" s="116"/>
      <c r="G1" s="116"/>
      <c r="H1" s="116"/>
      <c r="I1" s="116"/>
      <c r="J1" s="116"/>
      <c r="K1" s="116"/>
      <c r="L1" s="116"/>
      <c r="M1" s="116"/>
      <c r="N1" s="144"/>
      <c r="O1" s="144"/>
      <c r="P1" s="144"/>
      <c r="Q1" s="114"/>
      <c r="R1" s="114"/>
      <c r="S1" s="114"/>
      <c r="T1" s="114"/>
    </row>
    <row r="2" spans="1:20" ht="18" customHeight="1">
      <c r="A2" s="114"/>
      <c r="B2" s="89" t="str">
        <f>IF(H8&gt;2.5," A T T E N T I O N :",IF(H8&gt;1.5,"A C H T U N G :","D İ K K A T :"))</f>
        <v>D İ K K A T :</v>
      </c>
      <c r="C2" s="116"/>
      <c r="D2" s="116"/>
      <c r="E2" s="116"/>
      <c r="F2" s="116"/>
      <c r="G2" s="116"/>
      <c r="H2" s="116"/>
      <c r="I2" s="116"/>
      <c r="J2" s="116"/>
      <c r="K2" s="116"/>
      <c r="L2" s="116"/>
      <c r="M2" s="144"/>
      <c r="N2" s="144"/>
      <c r="O2" s="144"/>
      <c r="P2" s="116"/>
      <c r="Q2" s="114"/>
      <c r="R2" s="114"/>
      <c r="S2" s="114"/>
      <c r="T2" s="114"/>
    </row>
    <row r="3" spans="1:20" ht="68.25" customHeight="1">
      <c r="A3" s="114"/>
      <c r="B3" s="253" t="str">
        <f>IF(H8&gt;2.5,B34,IF(H8&gt;1.5,B32,IF(H8&gt;0.5,B30,"")))</f>
        <v>Bu program iyi niyetle ve bu günün teknik imkanlarına göre yapılmıştır. Bu programın yalnış kullanılmasından doğacak her türlü maddi ve manevi zarar için sorumluluk kullanana aittir. Bu programı kullananlar kullandıkları yerdeki şartları iyi değerlendirip bu programın yeterli olup olmadığına karar vermeleri ve gerekirse daha detaylı hesap yapmaları önerilir. Eğer herhangi bir düzeltme, tamamlama veya bir arzunuz olursa, hiç çekinmeden bizimle temasa geçebilirsiniz. </v>
      </c>
      <c r="C3" s="253"/>
      <c r="D3" s="253"/>
      <c r="E3" s="253"/>
      <c r="F3" s="253"/>
      <c r="G3" s="253"/>
      <c r="H3" s="253"/>
      <c r="I3" s="253"/>
      <c r="J3" s="253"/>
      <c r="K3" s="253"/>
      <c r="L3" s="253"/>
      <c r="M3" s="253"/>
      <c r="N3" s="253"/>
      <c r="O3" s="253"/>
      <c r="P3" s="253"/>
      <c r="S3" s="114"/>
      <c r="T3" s="114"/>
    </row>
    <row r="4" spans="1:20" ht="18" customHeight="1">
      <c r="A4" s="116"/>
      <c r="B4" s="144"/>
      <c r="C4" s="116"/>
      <c r="D4" s="116"/>
      <c r="E4" s="116"/>
      <c r="F4" s="116"/>
      <c r="G4" s="116"/>
      <c r="H4" s="116"/>
      <c r="I4" s="116"/>
      <c r="J4" s="116"/>
      <c r="K4" s="116"/>
      <c r="L4" s="116"/>
      <c r="M4" s="116"/>
      <c r="N4" s="116"/>
      <c r="O4" s="116"/>
      <c r="P4" s="116"/>
      <c r="Q4" s="116"/>
      <c r="R4" s="114"/>
      <c r="S4" s="114"/>
      <c r="T4" s="114"/>
    </row>
    <row r="5" spans="1:20" ht="36" customHeight="1">
      <c r="A5" s="116"/>
      <c r="B5" s="253" t="str">
        <f>IF(H8&gt;2.5,B40,IF(H8&gt;1.5,B38,IF(H8&gt;0.5,B36,"")))</f>
        <v>Bu programdaki her bilgiyi kaynak göstermek şartıyla her yerde kullanabilirsiniz. Bu programa verilecek değerleri (mavi kareler) ya bu sitedeki bilgilerden veya literatürden almalısınız.</v>
      </c>
      <c r="C5" s="253"/>
      <c r="D5" s="253"/>
      <c r="E5" s="253"/>
      <c r="F5" s="253"/>
      <c r="G5" s="253"/>
      <c r="H5" s="253"/>
      <c r="I5" s="253"/>
      <c r="J5" s="253"/>
      <c r="K5" s="253"/>
      <c r="L5" s="253"/>
      <c r="M5" s="253"/>
      <c r="N5" s="253"/>
      <c r="O5" s="253"/>
      <c r="P5" s="253"/>
      <c r="S5" s="114"/>
      <c r="T5" s="114"/>
    </row>
    <row r="6" spans="1:20" ht="18" customHeight="1">
      <c r="A6" s="116"/>
      <c r="B6" s="144"/>
      <c r="C6" s="116"/>
      <c r="D6" s="116"/>
      <c r="E6" s="116"/>
      <c r="F6" s="116"/>
      <c r="G6" s="116"/>
      <c r="H6" s="116"/>
      <c r="I6" s="116"/>
      <c r="J6" s="116"/>
      <c r="K6" s="116"/>
      <c r="L6" s="116"/>
      <c r="M6" s="116"/>
      <c r="N6" s="116"/>
      <c r="O6" s="116"/>
      <c r="P6" s="116"/>
      <c r="Q6" s="116"/>
      <c r="R6" s="114"/>
      <c r="S6" s="114"/>
      <c r="T6" s="114"/>
    </row>
    <row r="7" spans="1:20" s="92" customFormat="1" ht="18" customHeight="1" thickBot="1">
      <c r="A7" s="116"/>
      <c r="B7" s="145" t="s">
        <v>87</v>
      </c>
      <c r="C7" s="116"/>
      <c r="D7" s="116"/>
      <c r="E7" s="116"/>
      <c r="F7" s="116"/>
      <c r="G7" s="257" t="s">
        <v>90</v>
      </c>
      <c r="H7" s="257"/>
      <c r="I7" s="257"/>
      <c r="J7" s="257"/>
      <c r="M7" s="146" t="s">
        <v>124</v>
      </c>
      <c r="O7" s="1"/>
      <c r="P7" s="1"/>
      <c r="Q7" s="1"/>
      <c r="R7" s="1"/>
      <c r="S7" s="114"/>
      <c r="T7" s="114"/>
    </row>
    <row r="8" spans="1:20" ht="19.5" customHeight="1" thickBot="1" thickTop="1">
      <c r="A8" s="116"/>
      <c r="B8" s="147" t="s">
        <v>84</v>
      </c>
      <c r="C8" s="181"/>
      <c r="D8" s="148"/>
      <c r="E8" s="149"/>
      <c r="F8" s="150"/>
      <c r="G8" s="151"/>
      <c r="H8" s="254">
        <v>1</v>
      </c>
      <c r="J8" s="188"/>
      <c r="K8" s="189"/>
      <c r="L8" s="189"/>
      <c r="M8" s="189"/>
      <c r="N8" s="189"/>
      <c r="O8" s="189"/>
      <c r="P8" s="190"/>
      <c r="S8" s="114"/>
      <c r="T8" s="114"/>
    </row>
    <row r="9" spans="1:20" ht="19.5" customHeight="1" thickTop="1">
      <c r="A9" s="116"/>
      <c r="B9" s="152" t="s">
        <v>85</v>
      </c>
      <c r="C9" s="182"/>
      <c r="D9" s="183"/>
      <c r="E9" s="153"/>
      <c r="F9" s="154"/>
      <c r="G9" s="155"/>
      <c r="H9" s="255"/>
      <c r="J9" s="258" t="str">
        <f>IF(H8&gt;2.5,"Input fields (in blue) are not write-protected. ",IF(H8&gt;1.5,"Blaue Felder sind Eingabefelder, welche nicht schreibgeschützt sind. ",IF(H8&gt;0.5,"Mavi olan kareler kilitli olmayan ve yazılabilinen karelerdir","")))</f>
        <v>Mavi olan kareler kilitli olmayan ve yazılabilinen karelerdir</v>
      </c>
      <c r="K9" s="258"/>
      <c r="L9" s="258"/>
      <c r="M9" s="258"/>
      <c r="N9" s="258"/>
      <c r="O9" s="258"/>
      <c r="P9" s="258"/>
      <c r="S9" s="116"/>
      <c r="T9" s="116"/>
    </row>
    <row r="10" spans="1:19" ht="19.5" customHeight="1" thickBot="1">
      <c r="A10" s="116"/>
      <c r="B10" s="156" t="s">
        <v>86</v>
      </c>
      <c r="C10" s="184"/>
      <c r="D10" s="185"/>
      <c r="E10" s="157"/>
      <c r="F10" s="158"/>
      <c r="G10" s="159"/>
      <c r="H10" s="256"/>
      <c r="J10" s="259"/>
      <c r="K10" s="259"/>
      <c r="L10" s="259"/>
      <c r="M10" s="259"/>
      <c r="N10" s="259"/>
      <c r="O10" s="259"/>
      <c r="P10" s="259"/>
      <c r="S10" s="116"/>
    </row>
    <row r="11" spans="1:20" s="112" customFormat="1" ht="19.5" customHeight="1" thickTop="1">
      <c r="A11" s="116"/>
      <c r="I11" s="1"/>
      <c r="J11"/>
      <c r="K11"/>
      <c r="M11" s="92"/>
      <c r="N11" s="92"/>
      <c r="O11" s="1"/>
      <c r="P11" s="1"/>
      <c r="Q11" s="1"/>
      <c r="R11" s="1"/>
      <c r="S11" s="1"/>
      <c r="T11" s="1"/>
    </row>
    <row r="12" spans="1:20" s="92" customFormat="1" ht="18" customHeight="1">
      <c r="A12" s="116"/>
      <c r="C12" s="161"/>
      <c r="D12" s="115" t="str">
        <f>IF(H8&gt;2.5,"Round gears,one-stage",IF(H8&gt;1.5,"Zylindrische aussen Zahnräder, Einstufe","Silindirik alın dişlileri, Tek kademe"))</f>
        <v>Silindirik alın dişlileri, Tek kademe</v>
      </c>
      <c r="E12" s="161"/>
      <c r="F12" s="161"/>
      <c r="H12" s="161"/>
      <c r="I12" s="160"/>
      <c r="J12"/>
      <c r="K12"/>
      <c r="M12" s="5"/>
      <c r="N12" s="9"/>
      <c r="O12" s="1"/>
      <c r="P12" s="1"/>
      <c r="Q12" s="1"/>
      <c r="R12" s="1"/>
      <c r="S12" s="1"/>
      <c r="T12" s="1"/>
    </row>
    <row r="13" spans="1:20" s="92" customFormat="1" ht="18" customHeight="1">
      <c r="A13" s="116"/>
      <c r="C13" s="161"/>
      <c r="D13" s="115"/>
      <c r="E13" s="161"/>
      <c r="F13" s="161"/>
      <c r="H13" s="161"/>
      <c r="I13" s="160"/>
      <c r="J13"/>
      <c r="K13"/>
      <c r="M13" s="5"/>
      <c r="N13" s="9"/>
      <c r="O13" s="1"/>
      <c r="P13" s="1"/>
      <c r="Q13" s="1"/>
      <c r="R13" s="1"/>
      <c r="S13" s="1"/>
      <c r="T13" s="1"/>
    </row>
    <row r="14" spans="1:20" ht="18" customHeight="1">
      <c r="A14" s="116"/>
      <c r="B14" s="191"/>
      <c r="C14" s="161"/>
      <c r="D14" s="161"/>
      <c r="E14" s="161"/>
      <c r="F14" s="161"/>
      <c r="G14" s="192" t="str">
        <f>IF($H$8&gt;2.5,"Table of contents",IF($H$8&gt;1.5,"INHALT",IF($H$8&gt;0.5,"içindekiler ","")))</f>
        <v>içindekiler </v>
      </c>
      <c r="H14" s="161"/>
      <c r="I14" s="160"/>
      <c r="J14"/>
      <c r="K14"/>
      <c r="L14" s="191"/>
      <c r="M14" s="5"/>
      <c r="N14" s="9"/>
      <c r="S14" s="1"/>
      <c r="T14" s="1"/>
    </row>
    <row r="15" spans="1:20" ht="18" customHeight="1">
      <c r="A15" s="116"/>
      <c r="C15" s="161"/>
      <c r="D15" s="161"/>
      <c r="E15" s="144"/>
      <c r="F15" s="144"/>
      <c r="G15" s="206" t="str">
        <f>0!C2</f>
        <v>0. Programın kullanılması</v>
      </c>
      <c r="J15"/>
      <c r="K15"/>
      <c r="L15" s="9"/>
      <c r="M15" s="9"/>
      <c r="N15" s="9"/>
      <c r="S15" s="1"/>
      <c r="T15" s="1"/>
    </row>
    <row r="16" spans="1:20" ht="18" customHeight="1">
      <c r="A16" s="116"/>
      <c r="B16" s="87"/>
      <c r="C16" s="144"/>
      <c r="D16" s="144"/>
      <c r="E16" s="144"/>
      <c r="F16" s="144"/>
      <c r="G16" s="207" t="str">
        <f>IF(H8&gt;2.5,"1. Geometrical data of stage",IF(H8&gt;1.5,"1. Geometrische Daten der Stufe ",IF(H8&gt;0.5,"1. Kademenin geometrik ölçüleri ","")))</f>
        <v>1. Kademenin geometrik ölçüleri </v>
      </c>
      <c r="J16"/>
      <c r="K16"/>
      <c r="L16" s="110"/>
      <c r="M16" s="92"/>
      <c r="N16" s="92"/>
      <c r="S16" s="1"/>
      <c r="T16" s="1"/>
    </row>
    <row r="17" spans="1:20" ht="18" customHeight="1">
      <c r="A17" s="116"/>
      <c r="C17" s="116"/>
      <c r="D17" s="116"/>
      <c r="E17" s="144"/>
      <c r="F17" s="144"/>
      <c r="G17" s="206" t="str">
        <f>IF(Info!H8&gt;2.5,"2. Tolerances and Wk-tolerances",IF(Info!H8&gt;1.5,"2. Toleranzen und   Wk-Toleranzen",IF(Info!H8&gt;0.5,"2. Toleranslar ve Wk-Toleransları","")))</f>
        <v>2. Toleranslar ve Wk-Toleransları</v>
      </c>
      <c r="J17"/>
      <c r="K17"/>
      <c r="L17" s="110"/>
      <c r="M17" s="5"/>
      <c r="S17" s="1"/>
      <c r="T17" s="1"/>
    </row>
    <row r="18" spans="1:20" ht="18" customHeight="1">
      <c r="A18" s="116"/>
      <c r="B18"/>
      <c r="C18"/>
      <c r="D18"/>
      <c r="E18"/>
      <c r="F18"/>
      <c r="G18"/>
      <c r="H18"/>
      <c r="I18"/>
      <c r="J18"/>
      <c r="K18"/>
      <c r="L18"/>
      <c r="M18"/>
      <c r="S18" s="1"/>
      <c r="T18" s="1"/>
    </row>
    <row r="19" spans="1:20" ht="18" customHeight="1">
      <c r="A19" s="116"/>
      <c r="B19"/>
      <c r="C19"/>
      <c r="D19"/>
      <c r="E19"/>
      <c r="F19"/>
      <c r="G19"/>
      <c r="H19"/>
      <c r="I19"/>
      <c r="J19"/>
      <c r="K19"/>
      <c r="L19"/>
      <c r="M19"/>
      <c r="S19" s="1"/>
      <c r="T19" s="1"/>
    </row>
    <row r="20" spans="1:20" ht="18" customHeight="1">
      <c r="A20" s="116"/>
      <c r="B20" s="9"/>
      <c r="C20" s="116"/>
      <c r="D20" s="116"/>
      <c r="E20" s="144"/>
      <c r="F20" s="144"/>
      <c r="G20" s="9"/>
      <c r="J20"/>
      <c r="K20"/>
      <c r="L20" s="9"/>
      <c r="S20" s="1"/>
      <c r="T20" s="1"/>
    </row>
    <row r="21" spans="1:20" s="92" customFormat="1" ht="18" customHeight="1">
      <c r="A21" s="116"/>
      <c r="B21" s="116"/>
      <c r="C21" s="116"/>
      <c r="D21" s="116"/>
      <c r="E21" s="116"/>
      <c r="F21" s="116"/>
      <c r="G21" s="1"/>
      <c r="H21" s="1"/>
      <c r="I21" s="1"/>
      <c r="J21"/>
      <c r="K21"/>
      <c r="M21" s="1"/>
      <c r="N21" s="9"/>
      <c r="O21" s="1"/>
      <c r="P21" s="1"/>
      <c r="Q21" s="1"/>
      <c r="R21" s="1"/>
      <c r="S21" s="1"/>
      <c r="T21" s="1"/>
    </row>
    <row r="22" spans="1:20" ht="18" customHeight="1">
      <c r="A22" s="116"/>
      <c r="B22" s="116"/>
      <c r="C22" s="116"/>
      <c r="D22" s="116"/>
      <c r="E22" s="116"/>
      <c r="F22" s="116"/>
      <c r="G22" s="144"/>
      <c r="H22" s="144"/>
      <c r="I22" s="144"/>
      <c r="J22"/>
      <c r="K22"/>
      <c r="L22" s="9"/>
      <c r="N22" s="8"/>
      <c r="O22" s="144"/>
      <c r="P22" s="144"/>
      <c r="Q22" s="144"/>
      <c r="R22" s="144"/>
      <c r="S22" s="114"/>
      <c r="T22" s="114"/>
    </row>
    <row r="23" spans="1:20" ht="18" customHeight="1">
      <c r="A23" s="116"/>
      <c r="B23" s="116"/>
      <c r="C23" s="116"/>
      <c r="D23" s="116"/>
      <c r="E23" s="116"/>
      <c r="F23" s="116"/>
      <c r="G23" s="144"/>
      <c r="H23" s="144"/>
      <c r="I23" s="144"/>
      <c r="J23"/>
      <c r="K23"/>
      <c r="L23" s="9"/>
      <c r="N23" s="8"/>
      <c r="O23" s="144"/>
      <c r="P23" s="144"/>
      <c r="Q23" s="144"/>
      <c r="R23" s="144"/>
      <c r="S23" s="116"/>
      <c r="T23" s="114"/>
    </row>
    <row r="24" spans="1:20" ht="18" customHeight="1">
      <c r="A24" s="116"/>
      <c r="B24" s="116"/>
      <c r="C24" s="116"/>
      <c r="D24" s="116"/>
      <c r="E24" s="116"/>
      <c r="F24" s="116"/>
      <c r="G24" s="144"/>
      <c r="H24" s="144"/>
      <c r="I24" s="144"/>
      <c r="J24" s="144"/>
      <c r="K24" s="144"/>
      <c r="L24" s="144"/>
      <c r="M24" s="144"/>
      <c r="N24" s="144"/>
      <c r="O24" s="144"/>
      <c r="P24" s="144"/>
      <c r="Q24" s="144"/>
      <c r="R24" s="144"/>
      <c r="S24" s="116"/>
      <c r="T24" s="114"/>
    </row>
    <row r="25" spans="1:20" s="92" customFormat="1" ht="18" customHeight="1">
      <c r="A25" s="116"/>
      <c r="B25" s="116"/>
      <c r="C25" s="116"/>
      <c r="D25" s="116"/>
      <c r="E25" s="116"/>
      <c r="F25" s="116"/>
      <c r="G25" s="144"/>
      <c r="H25" s="144"/>
      <c r="I25" s="144"/>
      <c r="J25" s="144"/>
      <c r="K25" s="144"/>
      <c r="L25" s="144"/>
      <c r="M25" s="144"/>
      <c r="N25" s="144"/>
      <c r="O25" s="116"/>
      <c r="P25" s="116"/>
      <c r="Q25" s="144"/>
      <c r="R25" s="144"/>
      <c r="S25" s="114"/>
      <c r="T25" s="114"/>
    </row>
    <row r="26" spans="1:20" ht="18" customHeight="1" hidden="1">
      <c r="A26" s="116"/>
      <c r="B26" s="116"/>
      <c r="C26" s="116"/>
      <c r="D26" s="116"/>
      <c r="E26" s="116"/>
      <c r="F26" s="116"/>
      <c r="G26" s="144"/>
      <c r="H26" s="144"/>
      <c r="I26" s="144"/>
      <c r="J26" s="144"/>
      <c r="K26" s="144"/>
      <c r="L26" s="144"/>
      <c r="M26" s="144"/>
      <c r="N26" s="144"/>
      <c r="O26" s="144"/>
      <c r="P26" s="144"/>
      <c r="Q26" s="144"/>
      <c r="R26" s="144"/>
      <c r="S26" s="114"/>
      <c r="T26" s="114"/>
    </row>
    <row r="27" spans="1:20" ht="18" customHeight="1" hidden="1">
      <c r="A27" s="116"/>
      <c r="B27" s="116"/>
      <c r="C27" s="116"/>
      <c r="D27" s="116"/>
      <c r="E27" s="116"/>
      <c r="F27" s="116"/>
      <c r="G27" s="144"/>
      <c r="H27" s="144"/>
      <c r="I27" s="144"/>
      <c r="J27" s="144"/>
      <c r="K27" s="144"/>
      <c r="L27" s="144"/>
      <c r="M27" s="144"/>
      <c r="N27" s="144"/>
      <c r="O27" s="144"/>
      <c r="P27" s="144"/>
      <c r="Q27" s="144"/>
      <c r="R27" s="144"/>
      <c r="S27" s="116"/>
      <c r="T27" s="116"/>
    </row>
    <row r="28" spans="1:20" ht="18" customHeight="1" hidden="1">
      <c r="A28" s="116"/>
      <c r="B28" s="116"/>
      <c r="C28" s="116"/>
      <c r="D28" s="116"/>
      <c r="E28" s="116"/>
      <c r="F28" s="116"/>
      <c r="G28" s="144"/>
      <c r="H28" s="144"/>
      <c r="I28" s="144"/>
      <c r="J28" s="144"/>
      <c r="K28" s="144"/>
      <c r="L28" s="144"/>
      <c r="M28" s="144"/>
      <c r="N28" s="144"/>
      <c r="O28" s="144"/>
      <c r="P28" s="144"/>
      <c r="Q28" s="144"/>
      <c r="R28" s="144"/>
      <c r="S28" s="116"/>
      <c r="T28" s="116"/>
    </row>
    <row r="29" spans="1:20" ht="18" customHeight="1" hidden="1">
      <c r="A29" s="162"/>
      <c r="B29" s="162"/>
      <c r="C29" s="162"/>
      <c r="D29" s="162"/>
      <c r="E29" s="162"/>
      <c r="F29" s="162"/>
      <c r="G29" s="162"/>
      <c r="H29" s="162"/>
      <c r="I29" s="162"/>
      <c r="J29" s="162"/>
      <c r="K29" s="162"/>
      <c r="L29" s="162"/>
      <c r="M29" s="162"/>
      <c r="N29" s="162"/>
      <c r="O29" s="162"/>
      <c r="P29" s="162"/>
      <c r="Q29" s="162"/>
      <c r="R29" s="114"/>
      <c r="S29" s="114"/>
      <c r="T29" s="114"/>
    </row>
    <row r="30" spans="1:20" ht="50.25" customHeight="1" hidden="1">
      <c r="A30" s="162"/>
      <c r="B30" s="250" t="s">
        <v>91</v>
      </c>
      <c r="C30" s="250"/>
      <c r="D30" s="250"/>
      <c r="E30" s="250"/>
      <c r="F30" s="250"/>
      <c r="G30" s="250"/>
      <c r="H30" s="250"/>
      <c r="I30" s="250"/>
      <c r="J30" s="250"/>
      <c r="K30" s="250"/>
      <c r="L30" s="250"/>
      <c r="M30" s="250"/>
      <c r="N30" s="250"/>
      <c r="O30" s="250"/>
      <c r="P30" s="250"/>
      <c r="Q30" s="163" t="s">
        <v>44</v>
      </c>
      <c r="R30" s="114"/>
      <c r="S30" s="114"/>
      <c r="T30" s="114"/>
    </row>
    <row r="31" spans="1:20" ht="18" customHeight="1" hidden="1">
      <c r="A31" s="162"/>
      <c r="B31" s="186"/>
      <c r="C31" s="186"/>
      <c r="D31" s="186"/>
      <c r="E31" s="186"/>
      <c r="F31" s="186"/>
      <c r="G31" s="186"/>
      <c r="H31" s="186"/>
      <c r="I31" s="186"/>
      <c r="J31" s="186"/>
      <c r="K31" s="186"/>
      <c r="L31" s="186"/>
      <c r="M31" s="186"/>
      <c r="N31" s="186"/>
      <c r="O31" s="186"/>
      <c r="P31" s="186"/>
      <c r="Q31" s="162"/>
      <c r="R31" s="114"/>
      <c r="S31" s="114"/>
      <c r="T31" s="114"/>
    </row>
    <row r="32" spans="1:20" ht="39.75" customHeight="1" hidden="1">
      <c r="A32" s="162"/>
      <c r="B32" s="251" t="s">
        <v>92</v>
      </c>
      <c r="C32" s="251"/>
      <c r="D32" s="251"/>
      <c r="E32" s="251"/>
      <c r="F32" s="251"/>
      <c r="G32" s="251"/>
      <c r="H32" s="251"/>
      <c r="I32" s="251"/>
      <c r="J32" s="251"/>
      <c r="K32" s="251"/>
      <c r="L32" s="251"/>
      <c r="M32" s="251"/>
      <c r="N32" s="251"/>
      <c r="O32" s="251"/>
      <c r="P32" s="251"/>
      <c r="Q32" s="164" t="s">
        <v>89</v>
      </c>
      <c r="R32" s="114"/>
      <c r="S32" s="114"/>
      <c r="T32" s="114"/>
    </row>
    <row r="33" spans="1:26" ht="18" customHeight="1" hidden="1">
      <c r="A33" s="162"/>
      <c r="B33" s="165"/>
      <c r="C33" s="165"/>
      <c r="D33" s="165"/>
      <c r="E33" s="165"/>
      <c r="F33" s="165"/>
      <c r="G33" s="165"/>
      <c r="H33" s="165"/>
      <c r="I33" s="165"/>
      <c r="J33" s="165"/>
      <c r="K33" s="165"/>
      <c r="L33" s="165"/>
      <c r="M33" s="165"/>
      <c r="N33" s="165"/>
      <c r="O33" s="165"/>
      <c r="P33" s="165"/>
      <c r="Q33" s="164"/>
      <c r="R33" s="114"/>
      <c r="S33" s="114"/>
      <c r="T33" s="114"/>
      <c r="Z33" s="8"/>
    </row>
    <row r="34" spans="1:26" ht="52.5" customHeight="1" hidden="1">
      <c r="A34" s="162"/>
      <c r="B34" s="252" t="s">
        <v>93</v>
      </c>
      <c r="C34" s="252"/>
      <c r="D34" s="252"/>
      <c r="E34" s="252"/>
      <c r="F34" s="252"/>
      <c r="G34" s="252"/>
      <c r="H34" s="252"/>
      <c r="I34" s="252"/>
      <c r="J34" s="252"/>
      <c r="K34" s="252"/>
      <c r="L34" s="252"/>
      <c r="M34" s="252"/>
      <c r="N34" s="252"/>
      <c r="O34" s="252"/>
      <c r="P34" s="252"/>
      <c r="Q34" s="166" t="s">
        <v>94</v>
      </c>
      <c r="R34" s="114"/>
      <c r="S34" s="114"/>
      <c r="T34" s="114"/>
      <c r="Z34" s="113"/>
    </row>
    <row r="35" spans="1:26" ht="18" customHeight="1" hidden="1">
      <c r="A35" s="162"/>
      <c r="B35" s="167"/>
      <c r="C35" s="167"/>
      <c r="D35" s="167"/>
      <c r="E35" s="167"/>
      <c r="F35" s="167"/>
      <c r="G35" s="167"/>
      <c r="H35" s="167"/>
      <c r="I35" s="167"/>
      <c r="J35" s="167"/>
      <c r="K35" s="167"/>
      <c r="L35" s="167"/>
      <c r="M35" s="167"/>
      <c r="N35" s="167"/>
      <c r="O35" s="167"/>
      <c r="P35" s="167"/>
      <c r="Q35" s="166"/>
      <c r="R35" s="114"/>
      <c r="S35" s="114"/>
      <c r="T35" s="114"/>
      <c r="Z35" s="91"/>
    </row>
    <row r="36" spans="1:26" ht="41.25" customHeight="1" hidden="1">
      <c r="A36" s="163"/>
      <c r="B36" s="250" t="s">
        <v>95</v>
      </c>
      <c r="C36" s="250"/>
      <c r="D36" s="250"/>
      <c r="E36" s="250"/>
      <c r="F36" s="250"/>
      <c r="G36" s="250"/>
      <c r="H36" s="250"/>
      <c r="I36" s="250"/>
      <c r="J36" s="250"/>
      <c r="K36" s="250"/>
      <c r="L36" s="250"/>
      <c r="M36" s="250"/>
      <c r="N36" s="250"/>
      <c r="O36" s="250"/>
      <c r="P36" s="250"/>
      <c r="Q36" s="163" t="s">
        <v>44</v>
      </c>
      <c r="R36" s="144"/>
      <c r="S36" s="144"/>
      <c r="T36" s="144"/>
      <c r="Z36" s="8"/>
    </row>
    <row r="37" spans="1:26" ht="18" customHeight="1" hidden="1">
      <c r="A37" s="163"/>
      <c r="B37" s="163"/>
      <c r="C37" s="163"/>
      <c r="D37" s="163"/>
      <c r="E37" s="163"/>
      <c r="F37" s="163"/>
      <c r="G37" s="163"/>
      <c r="H37" s="163"/>
      <c r="I37" s="163"/>
      <c r="J37" s="163"/>
      <c r="K37" s="163"/>
      <c r="L37" s="163"/>
      <c r="M37" s="163"/>
      <c r="N37" s="163"/>
      <c r="O37" s="163"/>
      <c r="P37" s="163"/>
      <c r="Q37" s="163"/>
      <c r="R37" s="144"/>
      <c r="S37" s="144"/>
      <c r="T37" s="144"/>
      <c r="Z37" s="7"/>
    </row>
    <row r="38" spans="1:26" ht="34.5" customHeight="1" hidden="1">
      <c r="A38" s="163"/>
      <c r="B38" s="251" t="s">
        <v>96</v>
      </c>
      <c r="C38" s="251"/>
      <c r="D38" s="251"/>
      <c r="E38" s="251"/>
      <c r="F38" s="251"/>
      <c r="G38" s="251"/>
      <c r="H38" s="251"/>
      <c r="I38" s="251"/>
      <c r="J38" s="251"/>
      <c r="K38" s="251"/>
      <c r="L38" s="251"/>
      <c r="M38" s="251"/>
      <c r="N38" s="251"/>
      <c r="O38" s="251"/>
      <c r="P38" s="251"/>
      <c r="Q38" s="164" t="s">
        <v>89</v>
      </c>
      <c r="R38" s="144"/>
      <c r="S38" s="144"/>
      <c r="T38" s="144"/>
      <c r="Z38" s="7"/>
    </row>
    <row r="39" spans="1:26" ht="13.5" customHeight="1" hidden="1">
      <c r="A39" s="163"/>
      <c r="B39" s="163"/>
      <c r="C39" s="163"/>
      <c r="D39" s="163"/>
      <c r="E39" s="163"/>
      <c r="F39" s="163"/>
      <c r="G39" s="163"/>
      <c r="H39" s="163"/>
      <c r="I39" s="163"/>
      <c r="J39" s="163"/>
      <c r="K39" s="163"/>
      <c r="L39" s="163"/>
      <c r="M39" s="163"/>
      <c r="N39" s="163"/>
      <c r="O39" s="163"/>
      <c r="P39" s="163"/>
      <c r="Q39" s="163"/>
      <c r="R39" s="144"/>
      <c r="S39" s="144"/>
      <c r="T39" s="144"/>
      <c r="Z39" s="7"/>
    </row>
    <row r="40" spans="1:20" ht="37.5" customHeight="1" hidden="1">
      <c r="A40" s="163"/>
      <c r="B40" s="252" t="s">
        <v>97</v>
      </c>
      <c r="C40" s="252"/>
      <c r="D40" s="252"/>
      <c r="E40" s="252"/>
      <c r="F40" s="252"/>
      <c r="G40" s="252"/>
      <c r="H40" s="252"/>
      <c r="I40" s="252"/>
      <c r="J40" s="252"/>
      <c r="K40" s="252"/>
      <c r="L40" s="252"/>
      <c r="M40" s="252"/>
      <c r="N40" s="252"/>
      <c r="O40" s="252"/>
      <c r="P40" s="252"/>
      <c r="Q40" s="166" t="s">
        <v>94</v>
      </c>
      <c r="R40" s="144"/>
      <c r="S40" s="144"/>
      <c r="T40" s="144"/>
    </row>
    <row r="41" ht="13.5" customHeight="1" hidden="1"/>
    <row r="42" ht="13.5" customHeight="1" hidden="1">
      <c r="Z42" s="8"/>
    </row>
    <row r="43" ht="13.5" customHeight="1" hidden="1">
      <c r="Z43" s="91"/>
    </row>
    <row r="44" ht="13.5" customHeight="1" hidden="1">
      <c r="Z44" s="8"/>
    </row>
    <row r="45" ht="13.5" customHeight="1" hidden="1">
      <c r="Z45" s="8"/>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sheetData>
  <sheetProtection password="EF77" sheet="1" objects="1" scenarios="1"/>
  <mergeCells count="11">
    <mergeCell ref="B3:P3"/>
    <mergeCell ref="B5:P5"/>
    <mergeCell ref="H8:H10"/>
    <mergeCell ref="B30:P30"/>
    <mergeCell ref="G7:J7"/>
    <mergeCell ref="J9:P10"/>
    <mergeCell ref="B36:P36"/>
    <mergeCell ref="B38:P38"/>
    <mergeCell ref="B40:P40"/>
    <mergeCell ref="B32:P32"/>
    <mergeCell ref="B34:P34"/>
  </mergeCells>
  <hyperlinks>
    <hyperlink ref="B7" r:id="rId1" display="www.guven-kutay.ch"/>
  </hyperlink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3" r:id="rId2"/>
  <headerFooter alignWithMargins="0">
    <oddFooter>&amp;L&amp;F / &amp;A</oddFooter>
  </headerFooter>
</worksheet>
</file>

<file path=xl/worksheets/sheet2.xml><?xml version="1.0" encoding="utf-8"?>
<worksheet xmlns="http://schemas.openxmlformats.org/spreadsheetml/2006/main" xmlns:r="http://schemas.openxmlformats.org/officeDocument/2006/relationships">
  <sheetPr codeName="Tabelle2"/>
  <dimension ref="A1:O66"/>
  <sheetViews>
    <sheetView showGridLines="0" showRowColHeaders="0" workbookViewId="0" topLeftCell="A1">
      <selection activeCell="H20" sqref="H20"/>
    </sheetView>
  </sheetViews>
  <sheetFormatPr defaultColWidth="11.421875" defaultRowHeight="12.75"/>
  <cols>
    <col min="1" max="2" width="4.7109375" style="1" customWidth="1"/>
    <col min="3" max="14" width="11.7109375" style="1" customWidth="1"/>
    <col min="15" max="15" width="7.00390625" style="1" customWidth="1"/>
    <col min="16" max="18" width="11.7109375" style="1" customWidth="1"/>
    <col min="19" max="27" width="10.7109375" style="1" customWidth="1"/>
    <col min="28" max="16384" width="11.421875" style="1" customWidth="1"/>
  </cols>
  <sheetData>
    <row r="1" spans="1:15" ht="19.5" customHeight="1">
      <c r="A1" s="168"/>
      <c r="B1" s="116"/>
      <c r="C1" s="88"/>
      <c r="D1" s="116"/>
      <c r="E1" s="116"/>
      <c r="F1" s="116"/>
      <c r="G1" s="116"/>
      <c r="H1" s="116"/>
      <c r="I1" s="116"/>
      <c r="J1" s="116"/>
      <c r="K1" s="116"/>
      <c r="M1" s="116"/>
      <c r="N1" s="116"/>
      <c r="O1" s="116"/>
    </row>
    <row r="2" spans="3:15" ht="19.5" customHeight="1">
      <c r="C2" s="169" t="str">
        <f>IF(F31&gt;2.5,C33,IF(F31&gt;1.5,C32,C31))</f>
        <v>0. Programın kullanılması</v>
      </c>
      <c r="D2" s="116"/>
      <c r="E2" s="116"/>
      <c r="F2" s="116"/>
      <c r="G2" s="116"/>
      <c r="H2" s="116"/>
      <c r="I2" s="116"/>
      <c r="J2" s="116"/>
      <c r="K2" s="116"/>
      <c r="L2" s="116"/>
      <c r="M2" s="116"/>
      <c r="N2" s="116"/>
      <c r="O2" s="116"/>
    </row>
    <row r="3" spans="1:15" ht="19.5" customHeight="1">
      <c r="A3" s="169"/>
      <c r="B3" s="116"/>
      <c r="C3" s="88"/>
      <c r="D3" s="116"/>
      <c r="E3" s="116"/>
      <c r="F3" s="116"/>
      <c r="G3" s="116"/>
      <c r="H3" s="116"/>
      <c r="I3" s="116"/>
      <c r="J3" s="116"/>
      <c r="K3" s="116"/>
      <c r="L3" s="116"/>
      <c r="M3" s="116"/>
      <c r="N3" s="116"/>
      <c r="O3" s="116"/>
    </row>
    <row r="4" spans="2:15" ht="33" customHeight="1">
      <c r="B4" s="90">
        <v>1</v>
      </c>
      <c r="C4" s="257" t="str">
        <f>IF(F31&gt;2.5,C37,IF(F31&gt;1.5,C36,C35))</f>
        <v>Bu programı bilgisayarınızda kendinize göre bir yere kopyasını çıkarınız. Hesap yapacağınız zaman bilgisayardaki programı kullanınız.</v>
      </c>
      <c r="D4" s="257"/>
      <c r="E4" s="257"/>
      <c r="F4" s="257"/>
      <c r="G4" s="257"/>
      <c r="H4" s="257"/>
      <c r="I4" s="257"/>
      <c r="J4" s="257"/>
      <c r="K4" s="257"/>
      <c r="L4" s="257"/>
      <c r="M4" s="257"/>
      <c r="N4" s="257"/>
      <c r="O4" s="116"/>
    </row>
    <row r="5" spans="2:15" ht="19.5" customHeight="1">
      <c r="B5" s="168"/>
      <c r="C5" s="88"/>
      <c r="D5" s="116"/>
      <c r="E5" s="116"/>
      <c r="F5" s="116"/>
      <c r="G5" s="116"/>
      <c r="H5" s="116"/>
      <c r="I5" s="116"/>
      <c r="J5" s="116"/>
      <c r="K5" s="116"/>
      <c r="L5" s="116"/>
      <c r="M5" s="116"/>
      <c r="N5" s="116"/>
      <c r="O5" s="116"/>
    </row>
    <row r="6" spans="2:15" ht="34.5" customHeight="1">
      <c r="B6" s="90">
        <f>B4+1</f>
        <v>2</v>
      </c>
      <c r="C6" s="257" t="str">
        <f>IF(F31&gt;2.5,C41,IF(F31&gt;1.5,C40,C39))</f>
        <v>Kullanacağınız sayfaya gelince, hesaplamaya başlamadan önce, bütün mavi karelerdeki değerleri siliniz. Böylece dikkatsizlik yanlışı yapma imkanını ortadan kaldırmış olursunuz.</v>
      </c>
      <c r="D6" s="257"/>
      <c r="E6" s="257"/>
      <c r="F6" s="257"/>
      <c r="G6" s="257"/>
      <c r="H6" s="257"/>
      <c r="I6" s="257"/>
      <c r="J6" s="257"/>
      <c r="K6" s="257"/>
      <c r="L6" s="257"/>
      <c r="M6" s="257"/>
      <c r="N6" s="257"/>
      <c r="O6" s="116"/>
    </row>
    <row r="7" spans="2:15" ht="19.5" customHeight="1">
      <c r="B7" s="168"/>
      <c r="C7" s="88"/>
      <c r="D7" s="170"/>
      <c r="E7" s="170"/>
      <c r="F7" s="170"/>
      <c r="G7" s="170"/>
      <c r="H7" s="170"/>
      <c r="I7" s="170"/>
      <c r="J7" s="170"/>
      <c r="K7" s="170"/>
      <c r="L7" s="170"/>
      <c r="M7" s="170"/>
      <c r="N7" s="170"/>
      <c r="O7" s="116"/>
    </row>
    <row r="8" spans="2:15" ht="39.75" customHeight="1">
      <c r="B8" s="90">
        <f>B6+1</f>
        <v>3</v>
      </c>
      <c r="C8" s="257" t="str">
        <f>IF(F31&gt;2.5,C45,IF(F31&gt;1.5,C44,C43))</f>
        <v>Sıra ile mavi karelere yapacağınız hesaba ait değerleri dikkatlice yerleştiriniz. Hesaplamalarınız için gerekli olmayan mavi karelere değerler yerleştirmek yanlış hesap sonuçlarına sebep olabilir. Dikkatli olmak gereklidir.</v>
      </c>
      <c r="D8" s="257"/>
      <c r="E8" s="257"/>
      <c r="F8" s="257"/>
      <c r="G8" s="257"/>
      <c r="H8" s="257"/>
      <c r="I8" s="257"/>
      <c r="J8" s="257"/>
      <c r="K8" s="257"/>
      <c r="L8" s="257"/>
      <c r="M8" s="257"/>
      <c r="N8" s="257"/>
      <c r="O8" s="116"/>
    </row>
    <row r="9" spans="2:15" ht="19.5" customHeight="1">
      <c r="B9" s="90"/>
      <c r="C9" s="88"/>
      <c r="D9" s="170"/>
      <c r="E9" s="170"/>
      <c r="F9" s="170"/>
      <c r="G9" s="170"/>
      <c r="H9" s="170"/>
      <c r="I9" s="170"/>
      <c r="J9" s="170"/>
      <c r="K9" s="170"/>
      <c r="L9" s="170"/>
      <c r="M9" s="170"/>
      <c r="N9" s="170"/>
      <c r="O9" s="116"/>
    </row>
    <row r="10" spans="2:15" ht="33" customHeight="1">
      <c r="B10" s="90">
        <f>B8+1</f>
        <v>4</v>
      </c>
      <c r="C10" s="265" t="str">
        <f>IF(F31&gt;2.5,C49,IF(F31&gt;1.5,C48,C47))</f>
        <v>Bazı mavi karelerin önünde o kareye konulması gereken değerin hesabı vardır. Bilgisayar teoriye göre bu değeri hesaplar. Konstrüktör hesabı yaptığı konstruksiyonun şekline ve şartlarına göre  bilgisayarın önerisini ya kabul eder ve önerilen bu değeri kullanır veya değiştirir.</v>
      </c>
      <c r="D10" s="265"/>
      <c r="E10" s="265"/>
      <c r="F10" s="265"/>
      <c r="G10" s="265"/>
      <c r="H10" s="265"/>
      <c r="I10" s="265"/>
      <c r="J10" s="265"/>
      <c r="K10" s="265"/>
      <c r="L10" s="265"/>
      <c r="M10" s="265"/>
      <c r="N10" s="265"/>
      <c r="O10" s="116"/>
    </row>
    <row r="11" spans="2:15" ht="19.5" customHeight="1">
      <c r="B11" s="168"/>
      <c r="C11" s="88"/>
      <c r="D11" s="170"/>
      <c r="E11" s="170"/>
      <c r="F11" s="170"/>
      <c r="G11" s="170"/>
      <c r="H11" s="170"/>
      <c r="I11" s="170"/>
      <c r="J11" s="170"/>
      <c r="K11" s="170"/>
      <c r="L11" s="170"/>
      <c r="M11" s="170"/>
      <c r="N11" s="170"/>
      <c r="O11" s="116"/>
    </row>
    <row r="12" spans="2:15" ht="35.25" customHeight="1">
      <c r="B12" s="90">
        <f>B10+1</f>
        <v>5</v>
      </c>
      <c r="C12" s="265" t="str">
        <f>IF(F31&gt;2.5,C53,IF(F31&gt;1.5,C52,C51))</f>
        <v>Çoğu mavi karenin çevresinde değerlerin nereden alınması gerektiğini gösteren bilgi bulunmaktadır. Bu gösterilere uyulması hesapların doğruluğu açısından çok önemlidir.</v>
      </c>
      <c r="D12" s="265"/>
      <c r="E12" s="265"/>
      <c r="F12" s="265"/>
      <c r="G12" s="265"/>
      <c r="H12" s="265"/>
      <c r="I12" s="265"/>
      <c r="J12" s="265"/>
      <c r="K12" s="265"/>
      <c r="L12" s="265"/>
      <c r="M12" s="265"/>
      <c r="N12" s="265"/>
      <c r="O12" s="116"/>
    </row>
    <row r="13" spans="2:15" ht="19.5" customHeight="1">
      <c r="B13" s="168"/>
      <c r="C13" s="88"/>
      <c r="D13" s="170"/>
      <c r="E13" s="170"/>
      <c r="F13" s="170"/>
      <c r="G13" s="170"/>
      <c r="H13" s="170"/>
      <c r="I13" s="170"/>
      <c r="J13" s="170"/>
      <c r="K13" s="170"/>
      <c r="L13" s="170"/>
      <c r="M13" s="170"/>
      <c r="N13" s="170"/>
      <c r="O13" s="116"/>
    </row>
    <row r="14" spans="2:15" ht="21" customHeight="1">
      <c r="B14" s="90">
        <f>B12+1</f>
        <v>6</v>
      </c>
      <c r="C14" s="265" t="str">
        <f>IF(F31&gt;2.5,C57,IF(F31&gt;1.5,C56,C55))</f>
        <v>İnanılır hesapların yapılabilinmesi için konu hakkında gereken teoriyi önceden öğrenmek avantajdır.</v>
      </c>
      <c r="D14" s="265"/>
      <c r="E14" s="265"/>
      <c r="F14" s="265"/>
      <c r="G14" s="265"/>
      <c r="H14" s="265"/>
      <c r="I14" s="265"/>
      <c r="J14" s="265"/>
      <c r="K14" s="265"/>
      <c r="L14" s="265"/>
      <c r="M14" s="265"/>
      <c r="N14" s="265"/>
      <c r="O14" s="116"/>
    </row>
    <row r="15" spans="2:15" ht="19.5" customHeight="1">
      <c r="B15" s="168"/>
      <c r="C15" s="88"/>
      <c r="D15" s="170"/>
      <c r="E15" s="170"/>
      <c r="F15" s="170"/>
      <c r="G15" s="170"/>
      <c r="H15" s="170"/>
      <c r="I15" s="170"/>
      <c r="J15" s="170"/>
      <c r="K15" s="170"/>
      <c r="L15" s="170"/>
      <c r="M15" s="170"/>
      <c r="N15" s="170"/>
      <c r="O15" s="116"/>
    </row>
    <row r="16" spans="2:15" ht="58.5" customHeight="1">
      <c r="B16" s="90">
        <f>B14+1</f>
        <v>7</v>
      </c>
      <c r="C16" s="265" t="str">
        <f>IF(F31&gt;2.5,C61,IF(F31&gt;1.5,C60,C59))</f>
        <v>Genel olarak her hesap sayfasının sağ alt köşesinde program sonuçları bilgisayar tarafından değerlendirilir. Bu mekanik bir değerlendirmedir. Konstruktör bu sonuçları kendi sağ duyusu ile değerlendirmelidir. Bazan bilgisayar sonuçların yeterli olduğunu, bazanda yeterli olmadığını önerir. Bu iki haldede kararı konstrüktörün kendisinin vermesi gerekmektedir. Bilgisayar yalnız öneride bulunur kararı hep hesabı yapan konstrüktör verir ve sorumluluk hep kararı veren konstrüktöre aittir. Bilgisayar bir hukuki şahıs değildir.</v>
      </c>
      <c r="D16" s="265"/>
      <c r="E16" s="265"/>
      <c r="F16" s="265"/>
      <c r="G16" s="265"/>
      <c r="H16" s="265"/>
      <c r="I16" s="265"/>
      <c r="J16" s="265"/>
      <c r="K16" s="265"/>
      <c r="L16" s="265"/>
      <c r="M16" s="265"/>
      <c r="N16" s="265"/>
      <c r="O16" s="116"/>
    </row>
    <row r="17" spans="2:15" ht="19.5" customHeight="1">
      <c r="B17" s="168"/>
      <c r="C17" s="88"/>
      <c r="D17" s="116"/>
      <c r="E17" s="116"/>
      <c r="F17" s="116"/>
      <c r="G17" s="116"/>
      <c r="H17" s="116"/>
      <c r="I17" s="116"/>
      <c r="J17" s="116"/>
      <c r="K17" s="116"/>
      <c r="L17" s="116"/>
      <c r="M17" s="116"/>
      <c r="N17" s="116"/>
      <c r="O17" s="116"/>
    </row>
    <row r="18" spans="2:15" ht="37.5" customHeight="1">
      <c r="B18" s="90">
        <f>B16+1</f>
        <v>8</v>
      </c>
      <c r="C18" s="257" t="str">
        <f>IF(F31&gt;2.5,C65,IF(F31&gt;1.5,C64,C63))</f>
        <v>Eğer hesaplamalarında özel bir konstruksiyonun hesabı gerekiyorsa veya öğrenmek istediğiniz bir şey varsa, hiç çekinmeden bizimle temasa geçebilirsiniz. Bilgimizin yettiği kadar size memnuniyetle yardım ederiz.</v>
      </c>
      <c r="D18" s="257"/>
      <c r="E18" s="257"/>
      <c r="F18" s="257"/>
      <c r="G18" s="257"/>
      <c r="H18" s="257"/>
      <c r="I18" s="257"/>
      <c r="J18" s="257"/>
      <c r="K18" s="257"/>
      <c r="L18" s="257"/>
      <c r="M18" s="257"/>
      <c r="N18" s="257"/>
      <c r="O18" s="116"/>
    </row>
    <row r="19" spans="1:15" ht="19.5" customHeight="1">
      <c r="A19" s="168"/>
      <c r="B19" s="116"/>
      <c r="C19" s="172" t="str">
        <f>Info!B7</f>
        <v>www.guven-kutay.ch</v>
      </c>
      <c r="D19" s="116"/>
      <c r="E19" s="116"/>
      <c r="F19" s="116"/>
      <c r="G19" s="116"/>
      <c r="H19" s="116"/>
      <c r="I19" s="116"/>
      <c r="K19" s="172" t="str">
        <f>Info!M7</f>
        <v>Copyright : M. G. Kutay , Ver 10.01</v>
      </c>
      <c r="L19" s="173"/>
      <c r="M19" s="116"/>
      <c r="O19" s="172"/>
    </row>
    <row r="20" spans="1:15" ht="19.5" customHeight="1">
      <c r="A20" s="168"/>
      <c r="B20" s="116"/>
      <c r="C20" s="171"/>
      <c r="J20" s="116"/>
      <c r="K20" s="116"/>
      <c r="L20" s="116"/>
      <c r="M20" s="116"/>
      <c r="N20" s="116"/>
      <c r="O20" s="116"/>
    </row>
    <row r="21" spans="1:15" ht="19.5" customHeight="1" hidden="1">
      <c r="A21" s="168"/>
      <c r="B21" s="116"/>
      <c r="C21" s="88"/>
      <c r="D21" s="116"/>
      <c r="E21" s="116"/>
      <c r="F21" s="116"/>
      <c r="G21" s="116"/>
      <c r="H21" s="116"/>
      <c r="I21" s="116"/>
      <c r="J21" s="116"/>
      <c r="K21" s="116"/>
      <c r="L21" s="116"/>
      <c r="M21" s="116"/>
      <c r="N21" s="116"/>
      <c r="O21" s="116"/>
    </row>
    <row r="22" spans="1:15" ht="19.5" customHeight="1" hidden="1">
      <c r="A22" s="168"/>
      <c r="B22" s="116"/>
      <c r="C22" s="88"/>
      <c r="D22" s="116"/>
      <c r="E22" s="116"/>
      <c r="F22" s="116"/>
      <c r="G22" s="116"/>
      <c r="H22" s="116"/>
      <c r="I22" s="116"/>
      <c r="J22" s="116"/>
      <c r="K22" s="116"/>
      <c r="L22" s="116"/>
      <c r="M22" s="116"/>
      <c r="N22" s="116"/>
      <c r="O22" s="116"/>
    </row>
    <row r="23" spans="1:15" ht="19.5" customHeight="1" hidden="1">
      <c r="A23" s="168"/>
      <c r="B23" s="116"/>
      <c r="C23" s="88"/>
      <c r="D23" s="116"/>
      <c r="E23" s="116"/>
      <c r="F23" s="116"/>
      <c r="G23" s="116"/>
      <c r="H23" s="116"/>
      <c r="I23" s="116"/>
      <c r="J23" s="116"/>
      <c r="K23" s="116"/>
      <c r="L23" s="116"/>
      <c r="M23" s="116"/>
      <c r="N23" s="116"/>
      <c r="O23" s="116"/>
    </row>
    <row r="24" spans="1:15" ht="19.5" customHeight="1" hidden="1">
      <c r="A24" s="168"/>
      <c r="B24" s="116"/>
      <c r="C24" s="88"/>
      <c r="D24" s="116"/>
      <c r="E24" s="116"/>
      <c r="F24" s="116"/>
      <c r="G24" s="116"/>
      <c r="H24" s="116"/>
      <c r="I24" s="116"/>
      <c r="J24" s="116"/>
      <c r="K24" s="116"/>
      <c r="L24" s="116"/>
      <c r="M24" s="116"/>
      <c r="N24" s="116"/>
      <c r="O24" s="116"/>
    </row>
    <row r="25" spans="1:15" ht="19.5" customHeight="1" hidden="1">
      <c r="A25" s="168"/>
      <c r="B25" s="116"/>
      <c r="C25" s="88"/>
      <c r="D25" s="116"/>
      <c r="E25" s="116"/>
      <c r="F25" s="116"/>
      <c r="G25" s="116"/>
      <c r="H25" s="116"/>
      <c r="I25" s="116"/>
      <c r="J25" s="116"/>
      <c r="K25" s="116"/>
      <c r="L25" s="116"/>
      <c r="M25" s="116"/>
      <c r="N25" s="116"/>
      <c r="O25" s="116"/>
    </row>
    <row r="26" spans="1:15" ht="19.5" customHeight="1" hidden="1">
      <c r="A26" s="168"/>
      <c r="B26" s="116"/>
      <c r="C26" s="88"/>
      <c r="D26" s="116"/>
      <c r="E26" s="116"/>
      <c r="F26" s="116"/>
      <c r="G26" s="116"/>
      <c r="H26" s="116"/>
      <c r="I26" s="116"/>
      <c r="J26" s="116"/>
      <c r="K26" s="116"/>
      <c r="L26" s="116"/>
      <c r="M26" s="116"/>
      <c r="N26" s="116"/>
      <c r="O26" s="116"/>
    </row>
    <row r="27" spans="1:15" ht="19.5" customHeight="1" hidden="1">
      <c r="A27" s="168"/>
      <c r="B27" s="116"/>
      <c r="C27" s="88"/>
      <c r="D27" s="116"/>
      <c r="E27" s="116"/>
      <c r="F27" s="116"/>
      <c r="G27" s="116"/>
      <c r="H27" s="116"/>
      <c r="I27" s="116"/>
      <c r="J27" s="116"/>
      <c r="K27" s="116"/>
      <c r="L27" s="116"/>
      <c r="M27" s="116"/>
      <c r="N27" s="116"/>
      <c r="O27" s="116"/>
    </row>
    <row r="28" spans="1:15" ht="19.5" customHeight="1" hidden="1">
      <c r="A28" s="168"/>
      <c r="B28" s="116"/>
      <c r="C28" s="88"/>
      <c r="D28" s="116"/>
      <c r="E28" s="116"/>
      <c r="F28" s="116"/>
      <c r="G28" s="116"/>
      <c r="H28" s="116"/>
      <c r="I28" s="116"/>
      <c r="J28" s="116"/>
      <c r="K28" s="116"/>
      <c r="L28" s="116"/>
      <c r="M28" s="116"/>
      <c r="N28" s="116"/>
      <c r="O28" s="116"/>
    </row>
    <row r="29" spans="1:15" ht="19.5" customHeight="1" hidden="1">
      <c r="A29" s="168"/>
      <c r="B29" s="116"/>
      <c r="C29" s="88"/>
      <c r="D29" s="116"/>
      <c r="E29" s="116"/>
      <c r="F29" s="116"/>
      <c r="G29" s="116"/>
      <c r="H29" s="116"/>
      <c r="I29" s="116"/>
      <c r="J29" s="116"/>
      <c r="K29" s="116"/>
      <c r="L29" s="116"/>
      <c r="M29" s="116"/>
      <c r="N29" s="116"/>
      <c r="O29" s="116"/>
    </row>
    <row r="30" spans="1:15" ht="19.5" customHeight="1" hidden="1">
      <c r="A30" s="168"/>
      <c r="B30" s="116"/>
      <c r="C30" s="88"/>
      <c r="D30" s="116"/>
      <c r="E30" s="116"/>
      <c r="F30" s="116"/>
      <c r="G30" s="116"/>
      <c r="H30" s="116"/>
      <c r="I30" s="116"/>
      <c r="J30" s="116"/>
      <c r="K30" s="116"/>
      <c r="L30" s="116"/>
      <c r="M30" s="116"/>
      <c r="N30" s="116"/>
      <c r="O30" s="116"/>
    </row>
    <row r="31" spans="1:15" ht="18.75" customHeight="1" hidden="1">
      <c r="A31" s="114" t="s">
        <v>44</v>
      </c>
      <c r="B31" s="116"/>
      <c r="C31" s="264" t="s">
        <v>113</v>
      </c>
      <c r="D31" s="264"/>
      <c r="E31" s="264"/>
      <c r="F31" s="262">
        <f>Info!H8</f>
        <v>1</v>
      </c>
      <c r="G31" s="88"/>
      <c r="H31" s="88"/>
      <c r="I31" s="88"/>
      <c r="J31" s="88"/>
      <c r="K31" s="88"/>
      <c r="L31" s="88"/>
      <c r="M31" s="88"/>
      <c r="N31" s="88"/>
      <c r="O31" s="116"/>
    </row>
    <row r="32" spans="1:15" ht="19.5" customHeight="1" hidden="1">
      <c r="A32" s="175" t="s">
        <v>45</v>
      </c>
      <c r="B32" s="175"/>
      <c r="C32" s="260" t="s">
        <v>114</v>
      </c>
      <c r="D32" s="260"/>
      <c r="E32" s="260"/>
      <c r="F32" s="262"/>
      <c r="G32" s="175"/>
      <c r="H32" s="175"/>
      <c r="I32" s="175"/>
      <c r="J32" s="175"/>
      <c r="K32" s="175"/>
      <c r="L32" s="175"/>
      <c r="M32" s="175"/>
      <c r="N32" s="88"/>
      <c r="O32" s="116"/>
    </row>
    <row r="33" spans="1:15" ht="19.5" customHeight="1" hidden="1">
      <c r="A33" s="176" t="s">
        <v>46</v>
      </c>
      <c r="B33" s="176"/>
      <c r="C33" s="261" t="s">
        <v>115</v>
      </c>
      <c r="D33" s="261"/>
      <c r="E33" s="261"/>
      <c r="F33" s="262"/>
      <c r="G33" s="176"/>
      <c r="H33" s="176"/>
      <c r="I33" s="176"/>
      <c r="J33" s="176"/>
      <c r="K33" s="176"/>
      <c r="L33" s="176"/>
      <c r="M33" s="176"/>
      <c r="N33" s="88"/>
      <c r="O33" s="116"/>
    </row>
    <row r="34" spans="1:15" ht="19.5" customHeight="1" hidden="1">
      <c r="A34" s="168"/>
      <c r="B34" s="88"/>
      <c r="C34" s="88"/>
      <c r="D34" s="88"/>
      <c r="E34" s="88"/>
      <c r="F34" s="174"/>
      <c r="G34" s="88"/>
      <c r="H34" s="88"/>
      <c r="I34" s="88"/>
      <c r="J34" s="88"/>
      <c r="K34" s="88"/>
      <c r="L34" s="88"/>
      <c r="M34" s="88"/>
      <c r="N34" s="88"/>
      <c r="O34" s="116"/>
    </row>
    <row r="35" spans="1:15" ht="19.5" customHeight="1" hidden="1">
      <c r="A35" s="107">
        <v>1</v>
      </c>
      <c r="B35" s="106"/>
      <c r="C35" s="263" t="s">
        <v>98</v>
      </c>
      <c r="D35" s="263"/>
      <c r="E35" s="263"/>
      <c r="F35" s="263"/>
      <c r="G35" s="263"/>
      <c r="H35" s="263"/>
      <c r="I35" s="263"/>
      <c r="J35" s="263"/>
      <c r="K35" s="263"/>
      <c r="L35" s="263"/>
      <c r="M35" s="263"/>
      <c r="N35" s="263"/>
      <c r="O35" s="105"/>
    </row>
    <row r="36" spans="1:15" ht="19.5" customHeight="1" hidden="1">
      <c r="A36" s="177">
        <v>1</v>
      </c>
      <c r="B36" s="175"/>
      <c r="C36" s="260" t="s">
        <v>99</v>
      </c>
      <c r="D36" s="260"/>
      <c r="E36" s="260"/>
      <c r="F36" s="260"/>
      <c r="G36" s="260"/>
      <c r="H36" s="260"/>
      <c r="I36" s="260"/>
      <c r="J36" s="260"/>
      <c r="K36" s="260"/>
      <c r="L36" s="260"/>
      <c r="M36" s="260"/>
      <c r="N36" s="260"/>
      <c r="O36" s="105"/>
    </row>
    <row r="37" spans="1:15" ht="19.5" customHeight="1" hidden="1">
      <c r="A37" s="178">
        <v>1</v>
      </c>
      <c r="B37" s="176"/>
      <c r="C37" s="261" t="s">
        <v>100</v>
      </c>
      <c r="D37" s="261"/>
      <c r="E37" s="261"/>
      <c r="F37" s="261"/>
      <c r="G37" s="261"/>
      <c r="H37" s="261"/>
      <c r="I37" s="261"/>
      <c r="J37" s="261"/>
      <c r="K37" s="261"/>
      <c r="L37" s="261"/>
      <c r="M37" s="261"/>
      <c r="N37" s="261"/>
      <c r="O37" s="105"/>
    </row>
    <row r="38" spans="1:15" ht="19.5" customHeight="1" hidden="1">
      <c r="A38" s="107"/>
      <c r="B38" s="106"/>
      <c r="C38" s="106"/>
      <c r="D38" s="106"/>
      <c r="E38" s="106"/>
      <c r="F38" s="106"/>
      <c r="G38" s="106"/>
      <c r="H38" s="106"/>
      <c r="I38" s="106"/>
      <c r="J38" s="106"/>
      <c r="K38" s="106"/>
      <c r="L38" s="106"/>
      <c r="M38" s="106"/>
      <c r="N38" s="106"/>
      <c r="O38" s="105"/>
    </row>
    <row r="39" spans="1:15" ht="19.5" customHeight="1" hidden="1">
      <c r="A39" s="107">
        <f>A35+1</f>
        <v>2</v>
      </c>
      <c r="B39" s="105"/>
      <c r="C39" s="263" t="s">
        <v>47</v>
      </c>
      <c r="D39" s="263"/>
      <c r="E39" s="263"/>
      <c r="F39" s="263"/>
      <c r="G39" s="263"/>
      <c r="H39" s="263"/>
      <c r="I39" s="263"/>
      <c r="J39" s="263"/>
      <c r="K39" s="263"/>
      <c r="L39" s="263"/>
      <c r="M39" s="263"/>
      <c r="N39" s="263"/>
      <c r="O39" s="105"/>
    </row>
    <row r="40" spans="1:15" ht="19.5" customHeight="1" hidden="1">
      <c r="A40" s="177">
        <f>A36+1</f>
        <v>2</v>
      </c>
      <c r="B40" s="175"/>
      <c r="C40" s="260" t="s">
        <v>51</v>
      </c>
      <c r="D40" s="260"/>
      <c r="E40" s="260"/>
      <c r="F40" s="260"/>
      <c r="G40" s="260"/>
      <c r="H40" s="260"/>
      <c r="I40" s="260"/>
      <c r="J40" s="260"/>
      <c r="K40" s="260"/>
      <c r="L40" s="260"/>
      <c r="M40" s="260"/>
      <c r="N40" s="260"/>
      <c r="O40" s="105"/>
    </row>
    <row r="41" spans="1:15" ht="19.5" customHeight="1" hidden="1">
      <c r="A41" s="178">
        <f>A37+1</f>
        <v>2</v>
      </c>
      <c r="B41" s="176"/>
      <c r="C41" s="261" t="s">
        <v>101</v>
      </c>
      <c r="D41" s="261"/>
      <c r="E41" s="261"/>
      <c r="F41" s="261"/>
      <c r="G41" s="261"/>
      <c r="H41" s="261"/>
      <c r="I41" s="261"/>
      <c r="J41" s="261"/>
      <c r="K41" s="261"/>
      <c r="L41" s="261"/>
      <c r="M41" s="261"/>
      <c r="N41" s="261"/>
      <c r="O41" s="105"/>
    </row>
    <row r="42" spans="1:15" ht="19.5" customHeight="1" hidden="1">
      <c r="A42" s="107"/>
      <c r="B42" s="105"/>
      <c r="C42" s="106"/>
      <c r="D42" s="106"/>
      <c r="E42" s="106"/>
      <c r="F42" s="106"/>
      <c r="G42" s="106"/>
      <c r="H42" s="106"/>
      <c r="I42" s="106"/>
      <c r="J42" s="106"/>
      <c r="K42" s="106"/>
      <c r="L42" s="106"/>
      <c r="M42" s="106"/>
      <c r="N42" s="106"/>
      <c r="O42" s="105"/>
    </row>
    <row r="43" spans="1:15" ht="19.5" customHeight="1" hidden="1">
      <c r="A43" s="107">
        <f>A39+1</f>
        <v>3</v>
      </c>
      <c r="B43" s="105"/>
      <c r="C43" s="263" t="s">
        <v>48</v>
      </c>
      <c r="D43" s="263"/>
      <c r="E43" s="263"/>
      <c r="F43" s="263"/>
      <c r="G43" s="263"/>
      <c r="H43" s="263"/>
      <c r="I43" s="263"/>
      <c r="J43" s="263"/>
      <c r="K43" s="263"/>
      <c r="L43" s="263"/>
      <c r="M43" s="263"/>
      <c r="N43" s="263"/>
      <c r="O43" s="105"/>
    </row>
    <row r="44" spans="1:15" ht="19.5" customHeight="1" hidden="1">
      <c r="A44" s="177">
        <f>A40+1</f>
        <v>3</v>
      </c>
      <c r="B44" s="175"/>
      <c r="C44" s="260" t="s">
        <v>52</v>
      </c>
      <c r="D44" s="260"/>
      <c r="E44" s="260"/>
      <c r="F44" s="260"/>
      <c r="G44" s="260"/>
      <c r="H44" s="260"/>
      <c r="I44" s="260"/>
      <c r="J44" s="260"/>
      <c r="K44" s="260"/>
      <c r="L44" s="260"/>
      <c r="M44" s="260"/>
      <c r="N44" s="260"/>
      <c r="O44" s="105"/>
    </row>
    <row r="45" spans="1:15" ht="19.5" customHeight="1" hidden="1">
      <c r="A45" s="178">
        <f>A41+1</f>
        <v>3</v>
      </c>
      <c r="B45" s="176"/>
      <c r="C45" s="261" t="s">
        <v>102</v>
      </c>
      <c r="D45" s="261"/>
      <c r="E45" s="261"/>
      <c r="F45" s="261"/>
      <c r="G45" s="261"/>
      <c r="H45" s="261"/>
      <c r="I45" s="261"/>
      <c r="J45" s="261"/>
      <c r="K45" s="261"/>
      <c r="L45" s="261"/>
      <c r="M45" s="261"/>
      <c r="N45" s="261"/>
      <c r="O45" s="105"/>
    </row>
    <row r="46" spans="1:15" ht="19.5" customHeight="1" hidden="1">
      <c r="A46" s="107"/>
      <c r="B46" s="105"/>
      <c r="C46" s="106"/>
      <c r="D46" s="106"/>
      <c r="E46" s="106"/>
      <c r="F46" s="106"/>
      <c r="G46" s="106"/>
      <c r="H46" s="106"/>
      <c r="I46" s="106"/>
      <c r="J46" s="106"/>
      <c r="K46" s="106"/>
      <c r="L46" s="106"/>
      <c r="M46" s="106"/>
      <c r="N46" s="106"/>
      <c r="O46" s="105"/>
    </row>
    <row r="47" spans="1:15" ht="19.5" customHeight="1" hidden="1">
      <c r="A47" s="107">
        <f>A43+1</f>
        <v>4</v>
      </c>
      <c r="B47" s="105"/>
      <c r="C47" s="263" t="s">
        <v>49</v>
      </c>
      <c r="D47" s="263"/>
      <c r="E47" s="263"/>
      <c r="F47" s="263"/>
      <c r="G47" s="263"/>
      <c r="H47" s="263"/>
      <c r="I47" s="263"/>
      <c r="J47" s="263"/>
      <c r="K47" s="263"/>
      <c r="L47" s="263"/>
      <c r="M47" s="263"/>
      <c r="N47" s="263"/>
      <c r="O47" s="105"/>
    </row>
    <row r="48" spans="1:15" ht="19.5" customHeight="1" hidden="1">
      <c r="A48" s="177">
        <f>A44+1</f>
        <v>4</v>
      </c>
      <c r="B48" s="175"/>
      <c r="C48" s="260" t="s">
        <v>53</v>
      </c>
      <c r="D48" s="260"/>
      <c r="E48" s="260"/>
      <c r="F48" s="260"/>
      <c r="G48" s="260"/>
      <c r="H48" s="260"/>
      <c r="I48" s="260"/>
      <c r="J48" s="260"/>
      <c r="K48" s="260"/>
      <c r="L48" s="260"/>
      <c r="M48" s="260"/>
      <c r="N48" s="260"/>
      <c r="O48" s="105"/>
    </row>
    <row r="49" spans="1:15" ht="19.5" customHeight="1" hidden="1">
      <c r="A49" s="178">
        <f>A45+1</f>
        <v>4</v>
      </c>
      <c r="B49" s="176"/>
      <c r="C49" s="261" t="s">
        <v>103</v>
      </c>
      <c r="D49" s="261"/>
      <c r="E49" s="261"/>
      <c r="F49" s="261"/>
      <c r="G49" s="261"/>
      <c r="H49" s="261"/>
      <c r="I49" s="261"/>
      <c r="J49" s="261"/>
      <c r="K49" s="261"/>
      <c r="L49" s="261"/>
      <c r="M49" s="261"/>
      <c r="N49" s="261"/>
      <c r="O49" s="105"/>
    </row>
    <row r="50" spans="1:15" ht="19.5" customHeight="1" hidden="1">
      <c r="A50" s="107"/>
      <c r="B50" s="105"/>
      <c r="C50" s="106"/>
      <c r="D50" s="106"/>
      <c r="E50" s="106"/>
      <c r="F50" s="106"/>
      <c r="G50" s="106"/>
      <c r="H50" s="106"/>
      <c r="I50" s="106"/>
      <c r="J50" s="106"/>
      <c r="K50" s="106"/>
      <c r="L50" s="106"/>
      <c r="M50" s="106"/>
      <c r="N50" s="106"/>
      <c r="O50" s="105"/>
    </row>
    <row r="51" spans="1:15" ht="19.5" customHeight="1" hidden="1">
      <c r="A51" s="107">
        <f>A47+1</f>
        <v>5</v>
      </c>
      <c r="B51" s="105"/>
      <c r="C51" s="263" t="s">
        <v>50</v>
      </c>
      <c r="D51" s="263"/>
      <c r="E51" s="263"/>
      <c r="F51" s="263"/>
      <c r="G51" s="263"/>
      <c r="H51" s="263"/>
      <c r="I51" s="263"/>
      <c r="J51" s="263"/>
      <c r="K51" s="263"/>
      <c r="L51" s="263"/>
      <c r="M51" s="263"/>
      <c r="N51" s="263"/>
      <c r="O51" s="105"/>
    </row>
    <row r="52" spans="1:15" ht="19.5" customHeight="1" hidden="1">
      <c r="A52" s="177">
        <f>A48+1</f>
        <v>5</v>
      </c>
      <c r="B52" s="175"/>
      <c r="C52" s="260" t="s">
        <v>54</v>
      </c>
      <c r="D52" s="260"/>
      <c r="E52" s="260"/>
      <c r="F52" s="260"/>
      <c r="G52" s="260"/>
      <c r="H52" s="260"/>
      <c r="I52" s="260"/>
      <c r="J52" s="260"/>
      <c r="K52" s="260"/>
      <c r="L52" s="260"/>
      <c r="M52" s="260"/>
      <c r="N52" s="260"/>
      <c r="O52" s="105"/>
    </row>
    <row r="53" spans="1:15" ht="19.5" customHeight="1" hidden="1">
      <c r="A53" s="178">
        <f>A49+1</f>
        <v>5</v>
      </c>
      <c r="B53" s="176"/>
      <c r="C53" s="261" t="s">
        <v>104</v>
      </c>
      <c r="D53" s="261"/>
      <c r="E53" s="261"/>
      <c r="F53" s="261"/>
      <c r="G53" s="261"/>
      <c r="H53" s="261"/>
      <c r="I53" s="261"/>
      <c r="J53" s="261"/>
      <c r="K53" s="261"/>
      <c r="L53" s="261"/>
      <c r="M53" s="261"/>
      <c r="N53" s="261"/>
      <c r="O53" s="105"/>
    </row>
    <row r="54" spans="1:15" ht="19.5" customHeight="1" hidden="1">
      <c r="A54" s="107"/>
      <c r="B54" s="105"/>
      <c r="C54" s="106"/>
      <c r="D54" s="106"/>
      <c r="E54" s="106"/>
      <c r="F54" s="106"/>
      <c r="G54" s="106"/>
      <c r="H54" s="106"/>
      <c r="I54" s="106"/>
      <c r="J54" s="106"/>
      <c r="K54" s="106"/>
      <c r="L54" s="106"/>
      <c r="M54" s="106"/>
      <c r="N54" s="106"/>
      <c r="O54" s="105"/>
    </row>
    <row r="55" spans="1:15" ht="19.5" customHeight="1" hidden="1">
      <c r="A55" s="107">
        <f>A51+1</f>
        <v>6</v>
      </c>
      <c r="B55" s="105"/>
      <c r="C55" s="263" t="s">
        <v>105</v>
      </c>
      <c r="D55" s="263"/>
      <c r="E55" s="263"/>
      <c r="F55" s="263"/>
      <c r="G55" s="263"/>
      <c r="H55" s="263"/>
      <c r="I55" s="263"/>
      <c r="J55" s="263"/>
      <c r="K55" s="263"/>
      <c r="L55" s="263"/>
      <c r="M55" s="263"/>
      <c r="N55" s="263"/>
      <c r="O55" s="105"/>
    </row>
    <row r="56" spans="1:15" ht="19.5" customHeight="1" hidden="1">
      <c r="A56" s="177">
        <f>A52+1</f>
        <v>6</v>
      </c>
      <c r="B56" s="175"/>
      <c r="C56" s="260" t="s">
        <v>106</v>
      </c>
      <c r="D56" s="260"/>
      <c r="E56" s="260"/>
      <c r="F56" s="260"/>
      <c r="G56" s="260"/>
      <c r="H56" s="260"/>
      <c r="I56" s="260"/>
      <c r="J56" s="260"/>
      <c r="K56" s="260"/>
      <c r="L56" s="260"/>
      <c r="M56" s="260"/>
      <c r="N56" s="260"/>
      <c r="O56" s="105"/>
    </row>
    <row r="57" spans="1:15" ht="19.5" customHeight="1" hidden="1">
      <c r="A57" s="178">
        <f>A53+1</f>
        <v>6</v>
      </c>
      <c r="B57" s="176"/>
      <c r="C57" s="261" t="s">
        <v>107</v>
      </c>
      <c r="D57" s="261"/>
      <c r="E57" s="261"/>
      <c r="F57" s="261"/>
      <c r="G57" s="261"/>
      <c r="H57" s="261"/>
      <c r="I57" s="261"/>
      <c r="J57" s="261"/>
      <c r="K57" s="261"/>
      <c r="L57" s="261"/>
      <c r="M57" s="261"/>
      <c r="N57" s="261"/>
      <c r="O57" s="105"/>
    </row>
    <row r="58" spans="1:15" ht="19.5" customHeight="1" hidden="1">
      <c r="A58" s="107"/>
      <c r="B58" s="105"/>
      <c r="C58" s="106"/>
      <c r="D58" s="106"/>
      <c r="E58" s="106"/>
      <c r="F58" s="106"/>
      <c r="G58" s="106"/>
      <c r="H58" s="106"/>
      <c r="I58" s="106"/>
      <c r="J58" s="106"/>
      <c r="K58" s="106"/>
      <c r="L58" s="106"/>
      <c r="M58" s="106"/>
      <c r="N58" s="106"/>
      <c r="O58" s="105"/>
    </row>
    <row r="59" spans="1:15" ht="19.5" customHeight="1" hidden="1">
      <c r="A59" s="107">
        <f>A55+1</f>
        <v>7</v>
      </c>
      <c r="B59" s="105"/>
      <c r="C59" s="263" t="s">
        <v>108</v>
      </c>
      <c r="D59" s="263"/>
      <c r="E59" s="263"/>
      <c r="F59" s="263"/>
      <c r="G59" s="263"/>
      <c r="H59" s="263"/>
      <c r="I59" s="263"/>
      <c r="J59" s="263"/>
      <c r="K59" s="263"/>
      <c r="L59" s="263"/>
      <c r="M59" s="263"/>
      <c r="N59" s="263"/>
      <c r="O59" s="105"/>
    </row>
    <row r="60" spans="1:15" ht="19.5" customHeight="1" hidden="1">
      <c r="A60" s="177">
        <f>A56+1</f>
        <v>7</v>
      </c>
      <c r="B60" s="175"/>
      <c r="C60" s="260" t="s">
        <v>55</v>
      </c>
      <c r="D60" s="260"/>
      <c r="E60" s="260"/>
      <c r="F60" s="260"/>
      <c r="G60" s="260"/>
      <c r="H60" s="260"/>
      <c r="I60" s="260"/>
      <c r="J60" s="260"/>
      <c r="K60" s="260"/>
      <c r="L60" s="260"/>
      <c r="M60" s="260"/>
      <c r="N60" s="260"/>
      <c r="O60" s="105"/>
    </row>
    <row r="61" spans="1:15" ht="19.5" customHeight="1" hidden="1">
      <c r="A61" s="178">
        <f>A57+1</f>
        <v>7</v>
      </c>
      <c r="B61" s="176"/>
      <c r="C61" s="261" t="s">
        <v>109</v>
      </c>
      <c r="D61" s="261"/>
      <c r="E61" s="261"/>
      <c r="F61" s="261"/>
      <c r="G61" s="261"/>
      <c r="H61" s="261"/>
      <c r="I61" s="261"/>
      <c r="J61" s="261"/>
      <c r="K61" s="261"/>
      <c r="L61" s="261"/>
      <c r="M61" s="261"/>
      <c r="N61" s="261"/>
      <c r="O61" s="105"/>
    </row>
    <row r="62" spans="1:15" ht="19.5" customHeight="1" hidden="1">
      <c r="A62" s="107"/>
      <c r="B62" s="105"/>
      <c r="C62" s="106"/>
      <c r="D62" s="106"/>
      <c r="E62" s="106"/>
      <c r="F62" s="106"/>
      <c r="G62" s="106"/>
      <c r="H62" s="106"/>
      <c r="I62" s="106"/>
      <c r="J62" s="106"/>
      <c r="K62" s="106"/>
      <c r="L62" s="106"/>
      <c r="M62" s="106"/>
      <c r="N62" s="106"/>
      <c r="O62" s="105"/>
    </row>
    <row r="63" spans="1:15" ht="19.5" customHeight="1" hidden="1">
      <c r="A63" s="107">
        <f>A59+1</f>
        <v>8</v>
      </c>
      <c r="B63" s="105"/>
      <c r="C63" s="263" t="s">
        <v>110</v>
      </c>
      <c r="D63" s="263"/>
      <c r="E63" s="263"/>
      <c r="F63" s="263"/>
      <c r="G63" s="263"/>
      <c r="H63" s="263"/>
      <c r="I63" s="263"/>
      <c r="J63" s="263"/>
      <c r="K63" s="263"/>
      <c r="L63" s="263"/>
      <c r="M63" s="263"/>
      <c r="N63" s="263"/>
      <c r="O63" s="105"/>
    </row>
    <row r="64" spans="1:15" ht="19.5" customHeight="1" hidden="1">
      <c r="A64" s="179">
        <f>A63</f>
        <v>8</v>
      </c>
      <c r="B64" s="175"/>
      <c r="C64" s="260" t="s">
        <v>111</v>
      </c>
      <c r="D64" s="260"/>
      <c r="E64" s="260"/>
      <c r="F64" s="260"/>
      <c r="G64" s="260"/>
      <c r="H64" s="260"/>
      <c r="I64" s="260"/>
      <c r="J64" s="260"/>
      <c r="K64" s="260"/>
      <c r="L64" s="260"/>
      <c r="M64" s="260"/>
      <c r="N64" s="260"/>
      <c r="O64" s="105"/>
    </row>
    <row r="65" spans="1:15" ht="19.5" customHeight="1" hidden="1">
      <c r="A65" s="180">
        <f>A64</f>
        <v>8</v>
      </c>
      <c r="B65" s="176"/>
      <c r="C65" s="261" t="s">
        <v>112</v>
      </c>
      <c r="D65" s="261"/>
      <c r="E65" s="261"/>
      <c r="F65" s="261"/>
      <c r="G65" s="261"/>
      <c r="H65" s="261"/>
      <c r="I65" s="261"/>
      <c r="J65" s="261"/>
      <c r="K65" s="261"/>
      <c r="L65" s="261"/>
      <c r="M65" s="261"/>
      <c r="N65" s="261"/>
      <c r="O65" s="105"/>
    </row>
    <row r="66" spans="1:15" ht="19.5" customHeight="1" hidden="1">
      <c r="A66" s="168"/>
      <c r="B66" s="116"/>
      <c r="C66" s="88"/>
      <c r="D66" s="88"/>
      <c r="E66" s="88"/>
      <c r="F66" s="88"/>
      <c r="G66" s="88"/>
      <c r="H66" s="88"/>
      <c r="I66" s="88"/>
      <c r="J66" s="88"/>
      <c r="K66" s="88"/>
      <c r="L66" s="88"/>
      <c r="M66" s="88"/>
      <c r="N66" s="116"/>
      <c r="O66" s="116"/>
    </row>
    <row r="67" ht="19.5" customHeight="1" hidden="1"/>
    <row r="68" ht="19.5" customHeight="1" hidden="1"/>
    <row r="69" ht="19.5" customHeight="1" hidden="1"/>
    <row r="70" ht="19.5" customHeight="1" hidden="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sheetData>
  <sheetProtection password="EF77" sheet="1" objects="1" scenarios="1"/>
  <mergeCells count="36">
    <mergeCell ref="C4:N4"/>
    <mergeCell ref="C6:N6"/>
    <mergeCell ref="C8:N8"/>
    <mergeCell ref="C10:N10"/>
    <mergeCell ref="C12:N12"/>
    <mergeCell ref="C14:N14"/>
    <mergeCell ref="C16:N16"/>
    <mergeCell ref="C18:N18"/>
    <mergeCell ref="C35:N35"/>
    <mergeCell ref="C36:N36"/>
    <mergeCell ref="C37:N37"/>
    <mergeCell ref="C31:E31"/>
    <mergeCell ref="C44:N44"/>
    <mergeCell ref="C45:N45"/>
    <mergeCell ref="C47:N47"/>
    <mergeCell ref="C39:N39"/>
    <mergeCell ref="C40:N40"/>
    <mergeCell ref="C41:N41"/>
    <mergeCell ref="C43:N43"/>
    <mergeCell ref="C55:N55"/>
    <mergeCell ref="C56:N56"/>
    <mergeCell ref="C57:N57"/>
    <mergeCell ref="C48:N48"/>
    <mergeCell ref="C49:N49"/>
    <mergeCell ref="C51:N51"/>
    <mergeCell ref="C52:N52"/>
    <mergeCell ref="C64:N64"/>
    <mergeCell ref="C65:N65"/>
    <mergeCell ref="C32:E32"/>
    <mergeCell ref="C33:E33"/>
    <mergeCell ref="F31:F33"/>
    <mergeCell ref="C59:N59"/>
    <mergeCell ref="C60:N60"/>
    <mergeCell ref="C61:N61"/>
    <mergeCell ref="C63:N63"/>
    <mergeCell ref="C53:N53"/>
  </mergeCells>
  <printOptions/>
  <pageMargins left="0.7874015748031497" right="0.7874015748031497" top="0.7874015748031497" bottom="0.7874015748031497" header="0.5118110236220472" footer="0.5118110236220472"/>
  <pageSetup horizontalDpi="300" verticalDpi="300" orientation="landscape" paperSize="9" scale="83" r:id="rId1"/>
  <headerFooter alignWithMargins="0">
    <oddFooter>&amp;L&amp;F / &amp;A</oddFooter>
  </headerFooter>
</worksheet>
</file>

<file path=xl/worksheets/sheet3.xml><?xml version="1.0" encoding="utf-8"?>
<worksheet xmlns="http://schemas.openxmlformats.org/spreadsheetml/2006/main" xmlns:r="http://schemas.openxmlformats.org/officeDocument/2006/relationships">
  <sheetPr codeName="Tabelle4"/>
  <dimension ref="A1:R41"/>
  <sheetViews>
    <sheetView showGridLines="0" showRowColHeaders="0" zoomScale="80" zoomScaleNormal="80" workbookViewId="0" topLeftCell="A1">
      <selection activeCell="N24" sqref="N24"/>
    </sheetView>
  </sheetViews>
  <sheetFormatPr defaultColWidth="11.421875" defaultRowHeight="15" customHeight="1"/>
  <cols>
    <col min="1" max="1" width="2.7109375" style="83" customWidth="1"/>
    <col min="2" max="2" width="25.7109375" style="83" customWidth="1"/>
    <col min="3" max="3" width="8.7109375" style="83" customWidth="1"/>
    <col min="4" max="6" width="12.7109375" style="83" customWidth="1"/>
    <col min="7" max="8" width="10.7109375" style="83" customWidth="1"/>
    <col min="9" max="9" width="6.7109375" style="83" customWidth="1"/>
    <col min="10" max="10" width="1.8515625" style="83" customWidth="1"/>
    <col min="11" max="11" width="9.7109375" style="83" customWidth="1"/>
    <col min="12" max="12" width="3.8515625" style="83" customWidth="1"/>
    <col min="13" max="14" width="10.7109375" style="83" customWidth="1"/>
    <col min="15" max="15" width="6.7109375" style="83" customWidth="1"/>
    <col min="16" max="16" width="1.8515625" style="83" customWidth="1"/>
    <col min="17" max="17" width="9.7109375" style="83" customWidth="1"/>
    <col min="18" max="18" width="12.7109375" style="83" customWidth="1"/>
    <col min="19" max="21" width="10.7109375" style="83" customWidth="1"/>
    <col min="22" max="16384" width="11.421875" style="83" customWidth="1"/>
  </cols>
  <sheetData>
    <row r="1" spans="2:14" ht="15" customHeight="1">
      <c r="B1" s="55" t="str">
        <f>IF(Info!H8&gt;2.5,"Project:",IF(Info!H8&gt;1.5,"Projekt :",IF(Info!H8&gt;0.5,"Proje :","")))</f>
        <v>Proje :</v>
      </c>
      <c r="C1" s="266" t="s">
        <v>130</v>
      </c>
      <c r="D1" s="267"/>
      <c r="E1" s="267"/>
      <c r="F1" s="267"/>
      <c r="G1" s="267"/>
      <c r="H1" s="187" t="str">
        <f>Info!B7</f>
        <v>www.guven-kutay.ch</v>
      </c>
      <c r="N1" s="13" t="str">
        <f>Info!M7</f>
        <v>Copyright : M. G. Kutay , Ver 10.01</v>
      </c>
    </row>
    <row r="2" spans="1:18" ht="15" customHeight="1">
      <c r="A2" s="82"/>
      <c r="I2" s="12"/>
      <c r="J2" s="12"/>
      <c r="O2" s="56"/>
      <c r="P2" s="56"/>
      <c r="Q2" s="54"/>
      <c r="R2" s="54"/>
    </row>
    <row r="3" spans="1:18" ht="15" customHeight="1">
      <c r="A3" s="82"/>
      <c r="B3" s="55" t="str">
        <f>IF(Info!$H$8&gt;2.5,"Field of use;",IF(Info!$H$8&gt;1.5,"Einsatzort;",IF(Info!$H$8&gt;0.5,"Kullanıldığı yer;","")))</f>
        <v>Kullanıldığı yer;</v>
      </c>
      <c r="C3" s="266" t="s">
        <v>131</v>
      </c>
      <c r="D3" s="267"/>
      <c r="E3" s="267"/>
      <c r="F3" s="267"/>
      <c r="G3" s="267"/>
      <c r="I3" s="12"/>
      <c r="J3" s="12"/>
      <c r="O3" s="56"/>
      <c r="P3" s="56"/>
      <c r="Q3" s="54"/>
      <c r="R3" s="54"/>
    </row>
    <row r="4" spans="1:18" ht="7.5" customHeight="1">
      <c r="A4" s="82"/>
      <c r="C4" s="1"/>
      <c r="D4" s="1"/>
      <c r="E4" s="1"/>
      <c r="F4" s="1"/>
      <c r="G4" s="1"/>
      <c r="I4" s="12"/>
      <c r="J4" s="12"/>
      <c r="O4" s="56"/>
      <c r="P4" s="56"/>
      <c r="Q4" s="54"/>
      <c r="R4" s="54"/>
    </row>
    <row r="5" spans="1:18" ht="15" customHeight="1">
      <c r="A5" s="82"/>
      <c r="B5" s="193" t="str">
        <f>IF(Info!H8&gt;2.5,"Geometrical data of stage",IF(Info!H8&gt;1.5,"Geometrische Daten der Stufe ",IF(Info!H8&gt;0.5,"Kademenin geometrik ölçüleri ","")))</f>
        <v>Kademenin geometrik ölçüleri </v>
      </c>
      <c r="C5" s="1"/>
      <c r="D5" s="1"/>
      <c r="E5" s="1"/>
      <c r="F5" s="108"/>
      <c r="I5" s="54"/>
      <c r="J5" s="1"/>
      <c r="K5" s="1"/>
      <c r="M5" s="1"/>
      <c r="N5" s="1"/>
      <c r="O5" s="1"/>
      <c r="P5" s="1"/>
      <c r="Q5" s="1"/>
      <c r="R5" s="1"/>
    </row>
    <row r="6" spans="1:18" ht="15" customHeight="1">
      <c r="A6" s="82"/>
      <c r="B6" s="15" t="str">
        <f>IF(Info!H8&gt;2.5,"1. Base items",IF(Info!H8&gt;1.5,"1. Grundgrössen",IF(Info!H8&gt;0.5,"1. Temel değerler","")))</f>
        <v>1. Temel değerler</v>
      </c>
      <c r="C6" s="9"/>
      <c r="D6" s="199" t="str">
        <f>IF(Info!H8&gt;2.5,"Pinion",IF(Info!H8&gt;1.5,"Ritzel",IF(Info!H8&gt;0.5,"Pinyon","")))</f>
        <v>Pinyon</v>
      </c>
      <c r="E6" s="198" t="str">
        <f>IF(Info!H8&gt;2.5,"Wheel",IF(Info!H8&gt;1.5,"Rad",IF(Info!H8&gt;0.5,"Çark","")))</f>
        <v>Çark</v>
      </c>
      <c r="G6" s="1"/>
      <c r="H6" s="1"/>
      <c r="I6" s="1"/>
      <c r="J6" s="1"/>
      <c r="K6" s="1"/>
      <c r="L6" s="1"/>
      <c r="M6" s="1"/>
      <c r="N6" s="1"/>
      <c r="O6" s="1"/>
      <c r="P6" s="1"/>
      <c r="Q6" s="1"/>
      <c r="R6" s="1"/>
    </row>
    <row r="7" spans="1:18" ht="15" customHeight="1">
      <c r="A7" s="82"/>
      <c r="B7" s="16" t="str">
        <f>IF(Info!H8&gt;2.5,"Number of teeth",IF(Info!H8&gt;1.5,"Zähnezahl",IF(Info!H8&gt;0.5,"Diş sayısı","")))</f>
        <v>Diş sayısı</v>
      </c>
      <c r="C7" s="17" t="s">
        <v>39</v>
      </c>
      <c r="D7" s="200">
        <v>18</v>
      </c>
      <c r="E7" s="201">
        <v>18</v>
      </c>
      <c r="G7" s="1"/>
      <c r="H7" s="1"/>
      <c r="I7" s="1"/>
      <c r="J7" s="1"/>
      <c r="K7" s="1"/>
      <c r="L7" s="1"/>
      <c r="M7" s="1"/>
      <c r="N7" s="1"/>
      <c r="O7" s="1"/>
      <c r="P7" s="1"/>
      <c r="Q7" s="1"/>
      <c r="R7" s="1"/>
    </row>
    <row r="8" spans="1:18" ht="15" customHeight="1">
      <c r="A8" s="82"/>
      <c r="B8" s="18" t="str">
        <f>IF(Info!H8&gt;2.5,"Module",IF(Info!H8&gt;1.5,"Modul",IF(Info!H8&gt;0.5,"Modül","")))</f>
        <v>Modül</v>
      </c>
      <c r="C8" s="19" t="s">
        <v>123</v>
      </c>
      <c r="D8" s="269">
        <v>4.5</v>
      </c>
      <c r="E8" s="208"/>
      <c r="G8" s="1"/>
      <c r="H8" s="1"/>
      <c r="I8" s="1"/>
      <c r="J8" s="1"/>
      <c r="K8" s="1"/>
      <c r="L8" s="1"/>
      <c r="M8" s="1"/>
      <c r="N8" s="1"/>
      <c r="O8" s="1"/>
      <c r="P8" s="1"/>
      <c r="Q8" s="1"/>
      <c r="R8" s="1"/>
    </row>
    <row r="9" spans="1:18" ht="15" customHeight="1">
      <c r="A9" s="82"/>
      <c r="B9" s="18" t="str">
        <f>IF(Info!H8&gt;2.5,"Angle of pressure",IF(Info!H8&gt;1.5,"Eingriffswinkel",IF(Info!H8&gt;0.5,"Kavrama açısı","")))</f>
        <v>Kavrama açısı</v>
      </c>
      <c r="C9" s="86" t="s">
        <v>40</v>
      </c>
      <c r="D9" s="209">
        <v>22.5</v>
      </c>
      <c r="E9" s="210"/>
      <c r="G9" s="1"/>
      <c r="H9" s="1"/>
      <c r="I9" s="1"/>
      <c r="J9" s="1"/>
      <c r="K9" s="1"/>
      <c r="L9" s="1"/>
      <c r="M9" s="1"/>
      <c r="N9" s="1"/>
      <c r="O9" s="1"/>
      <c r="P9" s="1"/>
      <c r="Q9" s="1"/>
      <c r="R9" s="1"/>
    </row>
    <row r="10" spans="1:18" ht="15" customHeight="1">
      <c r="A10" s="82"/>
      <c r="B10" s="18" t="str">
        <f>IF(Info!H8&gt;2.5,"Tooth width",IF(Info!H8&gt;1.5,"Zahnbreite",IF(Info!H8&gt;0.5,"Diş genişliği","")))</f>
        <v>Diş genişliği</v>
      </c>
      <c r="C10" s="19" t="s">
        <v>41</v>
      </c>
      <c r="D10" s="203">
        <v>150</v>
      </c>
      <c r="E10" s="202">
        <v>150</v>
      </c>
      <c r="G10" s="1"/>
      <c r="H10" s="1"/>
      <c r="I10" s="1"/>
      <c r="J10" s="1"/>
      <c r="K10" s="1"/>
      <c r="L10" s="1"/>
      <c r="M10" s="1"/>
      <c r="N10" s="1"/>
      <c r="O10" s="1"/>
      <c r="P10" s="1"/>
      <c r="Q10" s="1"/>
      <c r="R10" s="1"/>
    </row>
    <row r="11" spans="1:18" ht="15" customHeight="1">
      <c r="A11" s="82"/>
      <c r="B11" s="18" t="str">
        <f>IF(Info!H8&gt;2.5,"Helix angle",IF(Info!H8&gt;1.5,"Schrägungswinkel",IF(Info!H8&gt;0.5,"Helis açısı","")))</f>
        <v>Helis açısı</v>
      </c>
      <c r="C11" s="86" t="s">
        <v>117</v>
      </c>
      <c r="D11" s="270">
        <v>10</v>
      </c>
      <c r="E11" s="271"/>
      <c r="G11" s="1"/>
      <c r="H11" s="1"/>
      <c r="I11" s="1"/>
      <c r="J11" s="1"/>
      <c r="K11" s="1"/>
      <c r="L11" s="1"/>
      <c r="M11" s="1"/>
      <c r="N11" s="1"/>
      <c r="O11" s="1"/>
      <c r="P11" s="1"/>
      <c r="Q11" s="1"/>
      <c r="R11" s="1"/>
    </row>
    <row r="12" spans="1:18" ht="15" customHeight="1">
      <c r="A12" s="82"/>
      <c r="B12" s="18" t="str">
        <f>IF(Info!H8&gt;2.5,"Direction of spiral",IF(Info!H8&gt;1.5,"Gangrichtung",IF(Info!H8&gt;0.5,"Helis yönü","")))</f>
        <v>Helis yönü</v>
      </c>
      <c r="C12" s="20" t="s">
        <v>2</v>
      </c>
      <c r="D12" s="205" t="s">
        <v>116</v>
      </c>
      <c r="E12" s="204" t="s">
        <v>132</v>
      </c>
      <c r="G12" s="1"/>
      <c r="H12" s="1"/>
      <c r="I12" s="1"/>
      <c r="J12" s="1"/>
      <c r="K12" s="1"/>
      <c r="L12" s="1"/>
      <c r="M12" s="1"/>
      <c r="N12" s="1"/>
      <c r="O12" s="1"/>
      <c r="P12" s="1"/>
      <c r="Q12" s="1"/>
      <c r="R12" s="1"/>
    </row>
    <row r="13" spans="1:18" ht="15" customHeight="1">
      <c r="A13" s="82"/>
      <c r="B13" s="21" t="str">
        <f>IF(Info!H8&gt;2.5,"Center distance",IF(Info!H8&gt;1.5,"Achsenabstand",IF(Info!H8&gt;0.5,"Eksenler arası mesafe","")))</f>
        <v>Eksenler arası mesafe</v>
      </c>
      <c r="C13" s="19" t="s">
        <v>3</v>
      </c>
      <c r="D13" s="272">
        <v>84.5</v>
      </c>
      <c r="E13" s="273"/>
      <c r="G13" s="1"/>
      <c r="H13" s="1"/>
      <c r="I13" s="1"/>
      <c r="J13" s="1"/>
      <c r="K13" s="1"/>
      <c r="L13" s="1"/>
      <c r="M13" s="1"/>
      <c r="N13" s="1"/>
      <c r="O13" s="1"/>
      <c r="P13" s="1"/>
      <c r="Q13" s="1"/>
      <c r="R13" s="1"/>
    </row>
    <row r="14" spans="1:18" ht="15" customHeight="1">
      <c r="A14" s="82"/>
      <c r="B14" s="93" t="str">
        <f>IF(Info!H8&gt;2.5,"Center distance tolerance",IF(Info!H8&gt;1.5,"Achsenabstand.Toleranz",IF(Info!H8&gt;0.5,"Eksenler arası toleransı","")))</f>
        <v>Eksenler arası toleransı</v>
      </c>
      <c r="C14" s="104" t="s">
        <v>77</v>
      </c>
      <c r="D14" s="274">
        <v>0.0145</v>
      </c>
      <c r="E14" s="275"/>
      <c r="G14" s="1"/>
      <c r="H14" s="1"/>
      <c r="I14" s="1"/>
      <c r="J14" s="1"/>
      <c r="K14" s="1"/>
      <c r="L14" s="1"/>
      <c r="M14" s="1"/>
      <c r="N14" s="1"/>
      <c r="O14" s="1"/>
      <c r="P14" s="1"/>
      <c r="Q14" s="1"/>
      <c r="R14" s="1"/>
    </row>
    <row r="15" spans="1:18" ht="15" customHeight="1">
      <c r="A15" s="82"/>
      <c r="B15" s="40" t="str">
        <f>IF(Info!H8&gt;2.5,"Gearing quality",IF(Info!H8&gt;1.5,"Verzahnungsqualität",IF(Info!H8&gt;0.5,"Dişli kalitesi","")))</f>
        <v>Dişli kalitesi</v>
      </c>
      <c r="C15" s="23"/>
      <c r="D15" s="276">
        <v>8</v>
      </c>
      <c r="E15" s="277"/>
      <c r="G15" s="1"/>
      <c r="H15" s="1"/>
      <c r="I15" s="1"/>
      <c r="J15" s="1"/>
      <c r="K15" s="1"/>
      <c r="L15" s="1"/>
      <c r="M15" s="1"/>
      <c r="N15" s="1"/>
      <c r="O15" s="1"/>
      <c r="P15" s="1"/>
      <c r="Q15" s="1"/>
      <c r="R15" s="1"/>
    </row>
    <row r="16" spans="1:18" ht="15" customHeight="1">
      <c r="A16" s="82"/>
      <c r="B16" s="1"/>
      <c r="C16" s="1"/>
      <c r="D16" s="1"/>
      <c r="E16" s="1"/>
      <c r="G16" s="1"/>
      <c r="H16" s="1"/>
      <c r="I16" s="1"/>
      <c r="J16" s="1"/>
      <c r="K16" s="1"/>
      <c r="L16" s="1"/>
      <c r="M16" s="1"/>
      <c r="N16" s="1"/>
      <c r="O16" s="1"/>
      <c r="P16" s="1"/>
      <c r="Q16" s="1"/>
      <c r="R16" s="1"/>
    </row>
    <row r="17" spans="1:18" ht="15" customHeight="1">
      <c r="A17" s="82"/>
      <c r="B17" s="24" t="str">
        <f>IF(Info!H8&gt;2.5,"2. Geometry",IF(Info!H8&gt;1.5,"2. Geometrie",IF(Info!H8&gt;0.5,"2. Geometri","")))</f>
        <v>2. Geometri</v>
      </c>
      <c r="C17" s="9"/>
      <c r="D17" s="1"/>
      <c r="E17" s="1"/>
      <c r="G17" s="1"/>
      <c r="H17" s="1"/>
      <c r="I17" s="1"/>
      <c r="J17" s="1"/>
      <c r="K17" s="1"/>
      <c r="L17" s="1"/>
      <c r="M17" s="1"/>
      <c r="N17" s="1"/>
      <c r="O17" s="1"/>
      <c r="P17" s="1"/>
      <c r="Q17" s="1"/>
      <c r="R17" s="1"/>
    </row>
    <row r="18" spans="1:18" ht="15" customHeight="1">
      <c r="A18" s="82"/>
      <c r="B18" s="16" t="str">
        <f>IF(Info!H8&gt;2.5,"Transverse module",IF(Info!H8&gt;1.5,"Stirnmodul",IF(Info!H8&gt;0.5,"Alın modülü","")))</f>
        <v>Alın modülü</v>
      </c>
      <c r="C18" s="100" t="s">
        <v>76</v>
      </c>
      <c r="D18" s="109">
        <f>D8/COS(PI()*D11/180)</f>
        <v>4.569419753485852</v>
      </c>
      <c r="E18" s="25"/>
      <c r="F18" s="95"/>
      <c r="G18" s="1"/>
      <c r="H18" s="1"/>
      <c r="I18" s="1"/>
      <c r="J18" s="1"/>
      <c r="K18" s="1"/>
      <c r="L18" s="1"/>
      <c r="M18" s="1"/>
      <c r="N18" s="1"/>
      <c r="O18" s="1"/>
      <c r="P18" s="1"/>
      <c r="Q18" s="1"/>
      <c r="R18" s="1"/>
    </row>
    <row r="19" spans="1:18" ht="15" customHeight="1">
      <c r="A19" s="82"/>
      <c r="B19" s="18" t="str">
        <f>IF(Info!H8&gt;2.5,"Real pressure angle",IF(Info!H8&gt;1.5,"Stirneingriffswinkel",IF(Info!H8&gt;0.5,"Alın kavrama açısı","")))</f>
        <v>Alın kavrama açısı</v>
      </c>
      <c r="C19" s="101" t="s">
        <v>75</v>
      </c>
      <c r="D19" s="26">
        <f>ATAN(TAN(PI()*D9/180)/COS(PI()*D11/180))*180/PI()</f>
        <v>22.811791208049485</v>
      </c>
      <c r="E19" s="27"/>
      <c r="F19" s="95"/>
      <c r="G19" s="1"/>
      <c r="H19" s="1"/>
      <c r="I19" s="1"/>
      <c r="J19" s="1"/>
      <c r="K19" s="1"/>
      <c r="L19" s="1"/>
      <c r="M19" s="1"/>
      <c r="N19" s="1"/>
      <c r="O19" s="1"/>
      <c r="P19" s="1"/>
      <c r="Q19" s="1"/>
      <c r="R19" s="1"/>
    </row>
    <row r="20" spans="1:18" ht="15" customHeight="1">
      <c r="A20" s="82"/>
      <c r="B20" s="18" t="str">
        <f>IF(Info!H8&gt;2.5,"Zero center distance",IF(Info!H8&gt;1.5,"Null-Achsenabstand",IF(Info!H8&gt;0.5,"Kaydırmasız eksenler arası","")))</f>
        <v>Kaydırmasız eksenler arası</v>
      </c>
      <c r="C20" s="102" t="s">
        <v>74</v>
      </c>
      <c r="D20" s="33">
        <f>D18*(D7+E7)/2</f>
        <v>82.24955556274534</v>
      </c>
      <c r="E20" s="27"/>
      <c r="F20" s="95"/>
      <c r="G20" s="1"/>
      <c r="H20" s="1"/>
      <c r="I20" s="1"/>
      <c r="J20" s="1"/>
      <c r="K20" s="1"/>
      <c r="L20" s="1"/>
      <c r="M20" s="1"/>
      <c r="N20" s="1"/>
      <c r="O20" s="1"/>
      <c r="P20" s="1"/>
      <c r="Q20" s="1"/>
      <c r="R20" s="1"/>
    </row>
    <row r="21" spans="1:18" ht="15" customHeight="1">
      <c r="A21" s="82"/>
      <c r="B21" s="18" t="str">
        <f>IF(Info!H8&gt;2.5,"Pressure angle of operating",IF(Info!H8&gt;1.5,"Betriebseingriffswinkel",IF(Info!H8&gt;0.5,"İşletmede kavrama açısı","")))</f>
        <v>İşletmede kavrama açısı</v>
      </c>
      <c r="C21" s="101" t="s">
        <v>73</v>
      </c>
      <c r="D21" s="26">
        <f>ACOS(D20*COS(PI()*D19/180)/D13)*180/PI()</f>
        <v>26.203161457948134</v>
      </c>
      <c r="E21" s="27"/>
      <c r="F21" s="95"/>
      <c r="G21" s="1"/>
      <c r="H21" s="1"/>
      <c r="I21" s="1"/>
      <c r="J21" s="1"/>
      <c r="K21" s="1"/>
      <c r="L21" s="1"/>
      <c r="M21" s="1"/>
      <c r="N21" s="1"/>
      <c r="O21" s="1"/>
      <c r="P21" s="1"/>
      <c r="Q21" s="1"/>
      <c r="R21" s="1"/>
    </row>
    <row r="22" spans="1:18" ht="15" customHeight="1">
      <c r="A22" s="82"/>
      <c r="B22" s="22" t="str">
        <f>IF(Info!H8&gt;2.5,"Involute function",IF(Info!H8&gt;1.5,"Evolventenfunkt.at",IF(Info!H8&gt;0.5,"Evolvent fonksiyonu","")))</f>
        <v>Evolvent fonksiyonu</v>
      </c>
      <c r="C22" s="96" t="s">
        <v>72</v>
      </c>
      <c r="D22" s="29">
        <f>TAN(PI()*D19/180)-D19*PI()/180</f>
        <v>0.022462609379678422</v>
      </c>
      <c r="E22" s="30"/>
      <c r="F22" s="95"/>
      <c r="G22" s="1"/>
      <c r="H22" s="1"/>
      <c r="I22" s="1"/>
      <c r="J22" s="1"/>
      <c r="K22" s="1"/>
      <c r="L22" s="1"/>
      <c r="M22" s="1"/>
      <c r="N22" s="1"/>
      <c r="O22" s="1"/>
      <c r="P22" s="1"/>
      <c r="Q22" s="1"/>
      <c r="R22" s="1"/>
    </row>
    <row r="23" spans="1:18" ht="15" customHeight="1">
      <c r="A23" s="82"/>
      <c r="B23" s="22" t="str">
        <f>B22</f>
        <v>Evolvent fonksiyonu</v>
      </c>
      <c r="C23" s="97" t="s">
        <v>71</v>
      </c>
      <c r="D23" s="29">
        <f>TAN(PI()*D21/180)-D21*PI()/180</f>
        <v>0.03479810011974166</v>
      </c>
      <c r="E23" s="30"/>
      <c r="F23" s="95"/>
      <c r="G23" s="1"/>
      <c r="H23" s="1"/>
      <c r="I23" s="1"/>
      <c r="J23" s="1"/>
      <c r="K23" s="1"/>
      <c r="L23" s="1"/>
      <c r="M23" s="1"/>
      <c r="N23" s="1"/>
      <c r="O23" s="1"/>
      <c r="P23" s="1"/>
      <c r="Q23" s="1"/>
      <c r="R23" s="1"/>
    </row>
    <row r="24" spans="1:18" ht="15" customHeight="1">
      <c r="A24" s="82"/>
      <c r="B24" s="22" t="str">
        <f>IF(Info!H8&gt;2.5,"Sum addendum modification",IF(Info!H8&gt;1.5,"Profilverschiebungssumme",IF(Info!H8&gt;0.5,"Toplam profil kaydırması","")))</f>
        <v>Toplam profil kaydırması</v>
      </c>
      <c r="C24" s="96" t="s">
        <v>70</v>
      </c>
      <c r="D24" s="29">
        <f>(D7+E7)*(D23-D22)/(2*TAN(PI()*D9/180))</f>
        <v>0.5360491627773911</v>
      </c>
      <c r="E24" s="30"/>
      <c r="F24" s="95"/>
      <c r="G24" s="1"/>
      <c r="H24" s="1"/>
      <c r="I24" s="1"/>
      <c r="J24" s="1"/>
      <c r="K24" s="1"/>
      <c r="L24" s="1"/>
      <c r="M24" s="1"/>
      <c r="N24" s="1"/>
      <c r="O24" s="1"/>
      <c r="P24" s="1"/>
      <c r="Q24" s="1"/>
      <c r="R24" s="1"/>
    </row>
    <row r="25" spans="1:18" ht="15" customHeight="1">
      <c r="A25" s="82"/>
      <c r="B25" s="22" t="str">
        <f>IF(Info!H8&gt;2.5,"Tip cut",IF(Info!H8&gt;1.5,"Kopfkürzung",IF(Info!H8&gt;0.5,"Dış çap düzeltmesi","")))</f>
        <v>Dış çap düzeltmesi</v>
      </c>
      <c r="C25" s="97" t="s">
        <v>69</v>
      </c>
      <c r="D25" s="28">
        <f>D20+D24*D8-D13</f>
        <v>0.1617767952435969</v>
      </c>
      <c r="E25" s="30"/>
      <c r="F25" s="95"/>
      <c r="G25" s="1"/>
      <c r="H25" s="1"/>
      <c r="I25" s="1"/>
      <c r="J25" s="1"/>
      <c r="K25" s="1"/>
      <c r="L25" s="1"/>
      <c r="M25" s="1"/>
      <c r="N25" s="1"/>
      <c r="O25" s="1"/>
      <c r="P25" s="1"/>
      <c r="Q25" s="1"/>
      <c r="R25" s="1"/>
    </row>
    <row r="26" spans="1:18" ht="15" customHeight="1">
      <c r="A26" s="82"/>
      <c r="B26" s="22" t="str">
        <f>IF(Info!H8&gt;2.5,"Base helix angle",IF(Info!H8&gt;1.5,"Grundschrägungswinkel",IF(Info!H8&gt;0.5,"Temel helis açısı","")))</f>
        <v>Temel helis açısı</v>
      </c>
      <c r="C26" s="101" t="s">
        <v>68</v>
      </c>
      <c r="D26" s="26">
        <f>180*ASIN(SIN(PI()*D11/180)*COS(PI()*D9/180))/PI()</f>
        <v>9.231855669181808</v>
      </c>
      <c r="E26" s="30"/>
      <c r="F26" s="95"/>
      <c r="G26" s="1"/>
      <c r="H26" s="1"/>
      <c r="I26" s="1"/>
      <c r="J26" s="1"/>
      <c r="K26" s="1"/>
      <c r="L26" s="1"/>
      <c r="M26" s="1"/>
      <c r="N26" s="1"/>
      <c r="O26" s="1"/>
      <c r="P26" s="1"/>
      <c r="Q26" s="1"/>
      <c r="R26" s="1"/>
    </row>
    <row r="27" spans="1:18" ht="15" customHeight="1">
      <c r="A27" s="82"/>
      <c r="B27" s="18" t="str">
        <f>IF(Info!H8&gt;2.5,"Arrangement number of teeth",IF(Info!H8&gt;1.5,"Vergleichszähnezahl",IF(Info!H8&gt;0.5,"Eşdeğer diş sayısı","")))</f>
        <v>Eşdeğer diş sayısı</v>
      </c>
      <c r="C27" s="96" t="s">
        <v>67</v>
      </c>
      <c r="D27" s="31">
        <f>D7/(COS(PI()*D26/180))^2/COS(PI()*D11/180)</f>
        <v>18.760533574874387</v>
      </c>
      <c r="E27" s="32">
        <f>E7/(COS(PI()*D26/180))^2/COS(PI()*D11/180)</f>
        <v>18.760533574874387</v>
      </c>
      <c r="F27" s="95"/>
      <c r="G27" s="1"/>
      <c r="H27" s="1"/>
      <c r="I27" s="1"/>
      <c r="J27" s="1"/>
      <c r="K27" s="1"/>
      <c r="L27" s="1"/>
      <c r="M27" s="1"/>
      <c r="N27" s="1"/>
      <c r="O27" s="1"/>
      <c r="P27" s="1"/>
      <c r="Q27" s="1"/>
      <c r="R27" s="1"/>
    </row>
    <row r="28" spans="1:18" ht="15" customHeight="1">
      <c r="A28" s="82"/>
      <c r="B28" s="103" t="str">
        <f>IF(Info!H8&gt;2.5,"Addendum Modification-Proposal",IF(Info!H8&gt;1.5,"Profilverschi.-Vorschlag",IF(Info!H8&gt;0.5,"Profil kaydırması, teklif","")))</f>
        <v>Profil kaydırması, teklif</v>
      </c>
      <c r="C28" s="104"/>
      <c r="D28" s="85">
        <f>IF(($D$24/2+(0.5-$D$24/2)*LOG10($E$7/$D$7)/(LOG10($D$27*$E$27/100)))*10-INT(($D$24/2+(0.5-$D$24/2)*LOG10($E$7/$D$7)/(LOG10($D$27*$E$27/100)))*10)&gt;0.5,FLOOR(($D$24/2+(0.5-$D$24/2)*LOG10($E$7/$D$7)/(LOG10($D$27*$E$27/100))),0.05),ROUNDDOWN(($D$24/2+(0.5-$D$24/2)*LOG10($E$7/$D$7)/(LOG10($D$27*$E$27/100))),1))</f>
        <v>0.25</v>
      </c>
      <c r="E28" s="43">
        <f>D24-D28</f>
        <v>0.2860491627773911</v>
      </c>
      <c r="F28" s="95"/>
      <c r="G28" s="1"/>
      <c r="H28" s="1"/>
      <c r="I28" s="1"/>
      <c r="J28" s="1"/>
      <c r="K28" s="1"/>
      <c r="L28" s="1"/>
      <c r="M28" s="1"/>
      <c r="N28" s="1"/>
      <c r="O28" s="1"/>
      <c r="P28" s="1"/>
      <c r="Q28" s="1"/>
      <c r="R28" s="1"/>
    </row>
    <row r="29" spans="1:18" ht="15" customHeight="1">
      <c r="A29" s="82"/>
      <c r="B29" s="18" t="str">
        <f>IF(Info!H8&gt;2.5,"Selected A.M-P.  factor",IF(Info!H8&gt;1.5,"Ausgewählte Profilverschi.-fak.",IF(Info!H8&gt;0.5,"Seçilen profil kaydırması","")))</f>
        <v>Seçilen profil kaydırması</v>
      </c>
      <c r="C29" s="96" t="s">
        <v>66</v>
      </c>
      <c r="D29" s="244">
        <v>0.268</v>
      </c>
      <c r="E29" s="84">
        <f>D24-D29</f>
        <v>0.2680491627773911</v>
      </c>
      <c r="F29" s="95"/>
      <c r="G29" s="1"/>
      <c r="H29" s="1"/>
      <c r="I29" s="1"/>
      <c r="J29" s="1"/>
      <c r="K29" s="1"/>
      <c r="L29" s="1"/>
      <c r="M29" s="1"/>
      <c r="N29" s="1"/>
      <c r="O29" s="1"/>
      <c r="P29" s="1"/>
      <c r="Q29" s="1"/>
      <c r="R29" s="1"/>
    </row>
    <row r="30" spans="1:18" ht="15" customHeight="1">
      <c r="A30" s="82"/>
      <c r="B30" s="18" t="str">
        <f>IF(Info!H8&gt;2.5,"Reference diameter",IF(Info!H8&gt;1.5,"Teilkreisdurchmesser",IF(Info!H8&gt;0.5,"Taksimat dairesi","")))</f>
        <v>Taksimat dairesi</v>
      </c>
      <c r="C30" s="97" t="s">
        <v>65</v>
      </c>
      <c r="D30" s="33">
        <f>D7*D18</f>
        <v>82.24955556274534</v>
      </c>
      <c r="E30" s="34">
        <f>E7*D18</f>
        <v>82.24955556274534</v>
      </c>
      <c r="F30" s="95"/>
      <c r="G30" s="1"/>
      <c r="H30" s="1"/>
      <c r="I30" s="1"/>
      <c r="J30" s="1"/>
      <c r="K30" s="1"/>
      <c r="L30" s="1"/>
      <c r="M30" s="1"/>
      <c r="N30" s="1"/>
      <c r="O30" s="1"/>
      <c r="P30" s="1"/>
      <c r="Q30" s="1"/>
      <c r="R30" s="1"/>
    </row>
    <row r="31" spans="1:18" ht="15" customHeight="1">
      <c r="A31" s="82"/>
      <c r="B31" s="18" t="str">
        <f>IF(Info!H8&gt;2.5,"Addendum diameter",IF(Info!H8&gt;1.5,"Kopfkreisdurchmesser",IF(Info!H8&gt;0.5,"Diş üstü çapı","")))</f>
        <v>Diş üstü çapı</v>
      </c>
      <c r="C31" s="97" t="s">
        <v>63</v>
      </c>
      <c r="D31" s="33">
        <f>IF(D29&gt;0,D30+2*D8*(1+D29)-2*D25,D30+2*D8*(1+D29)+2*D25)</f>
        <v>93.33800197225816</v>
      </c>
      <c r="E31" s="34">
        <f>IF(E29&gt;0,E30+2*D8*(1+E29)-2*D25,E30+2*D8*(1+E29)+2*D25)</f>
        <v>93.33844443725467</v>
      </c>
      <c r="F31" s="1"/>
      <c r="G31" s="1"/>
      <c r="H31" s="1"/>
      <c r="I31" s="1"/>
      <c r="J31" s="1"/>
      <c r="K31" s="1"/>
      <c r="L31" s="1"/>
      <c r="M31" s="1"/>
      <c r="N31" s="1"/>
      <c r="O31" s="1"/>
      <c r="P31" s="1"/>
      <c r="Q31" s="1"/>
      <c r="R31" s="1"/>
    </row>
    <row r="32" spans="1:18" ht="15" customHeight="1">
      <c r="A32" s="82"/>
      <c r="B32" s="18" t="str">
        <f>IF(Info!H8&gt;2.5,"Number of measuring teeth",IF(Info!H8&gt;1.5,"Messzähnezahl",IF(Info!H8&gt;0.5,"Ölçülecek diş sayısı","")))</f>
        <v>Ölçülecek diş sayısı</v>
      </c>
      <c r="C32" s="96" t="s">
        <v>64</v>
      </c>
      <c r="D32" s="35">
        <f>ROUND(D27*D9/180+1,0)</f>
        <v>3</v>
      </c>
      <c r="E32" s="36">
        <f>ROUND(E27*D9/180+1,0)</f>
        <v>3</v>
      </c>
      <c r="F32" s="95"/>
      <c r="G32" s="1"/>
      <c r="H32" s="1"/>
      <c r="I32" s="1"/>
      <c r="J32" s="1"/>
      <c r="K32" s="1"/>
      <c r="L32" s="1"/>
      <c r="M32" s="1"/>
      <c r="N32" s="1"/>
      <c r="O32" s="1"/>
      <c r="P32" s="1"/>
      <c r="Q32" s="1"/>
      <c r="R32" s="1"/>
    </row>
    <row r="33" spans="1:18" ht="15" customHeight="1">
      <c r="A33" s="82"/>
      <c r="B33" s="18" t="str">
        <f>IF(Info!H8&gt;2.5,"Base tangent length",IF(Info!H8&gt;1.5,"Zahnweitennennmass",IF(Info!H8&gt;0.5,"Kontrol ölçü değeri","")))</f>
        <v>Kontrol ölçü değeri</v>
      </c>
      <c r="C33" s="19" t="s">
        <v>42</v>
      </c>
      <c r="D33" s="33">
        <f>D8*COS(PI()*D9/180)*((D32-0.5)*PI()+D7*D22)+2*D29*D8*SIN(PI()*D9/180)</f>
        <v>35.25660274970035</v>
      </c>
      <c r="E33" s="34">
        <f>D8*COS(PI()*D9/180)*((E32-0.5)*PI()+E7*D22)+2*E29*D8*SIN(PI()*D9/180)</f>
        <v>35.25677207372392</v>
      </c>
      <c r="F33" s="95"/>
      <c r="G33" s="1"/>
      <c r="H33" s="1"/>
      <c r="I33" s="1"/>
      <c r="J33" s="1"/>
      <c r="K33" s="1"/>
      <c r="L33" s="1"/>
      <c r="M33" s="1"/>
      <c r="N33" s="1"/>
      <c r="O33" s="1"/>
      <c r="P33" s="1"/>
      <c r="Q33" s="1"/>
      <c r="R33" s="1"/>
    </row>
    <row r="34" spans="1:18" ht="15" customHeight="1">
      <c r="A34" s="82"/>
      <c r="B34" s="18" t="str">
        <f>IF(Info!H8&gt;2.5,"Base tangent length tolerance",IF(Info!H8&gt;1.5,"Zahnweitenabmass",IF(Info!H8&gt;0.5,"Toleransları","")))</f>
        <v>Toleransları</v>
      </c>
      <c r="C34" s="96" t="s">
        <v>57</v>
      </c>
      <c r="D34" s="37">
        <f>2!H25</f>
        <v>-0.06467156727579007</v>
      </c>
      <c r="E34" s="38">
        <f>2!I25</f>
        <v>-0.06467156727579007</v>
      </c>
      <c r="F34" s="95"/>
      <c r="G34" s="1"/>
      <c r="H34" s="1"/>
      <c r="I34" s="1"/>
      <c r="J34" s="1"/>
      <c r="K34" s="1"/>
      <c r="L34" s="1"/>
      <c r="M34" s="1"/>
      <c r="N34" s="1"/>
      <c r="O34" s="1"/>
      <c r="P34" s="1"/>
      <c r="Q34" s="1"/>
      <c r="R34" s="1"/>
    </row>
    <row r="35" spans="1:18" ht="15" customHeight="1">
      <c r="A35" s="82"/>
      <c r="B35" s="11"/>
      <c r="C35" s="96" t="s">
        <v>58</v>
      </c>
      <c r="D35" s="37">
        <f>2!H26</f>
        <v>-0.10162674857624154</v>
      </c>
      <c r="E35" s="38">
        <f>2!I26</f>
        <v>-0.10162674857624154</v>
      </c>
      <c r="F35" s="95"/>
      <c r="G35" s="1"/>
      <c r="H35" s="1"/>
      <c r="I35" s="1"/>
      <c r="J35" s="1"/>
      <c r="K35" s="1"/>
      <c r="L35" s="1"/>
      <c r="M35" s="1"/>
      <c r="N35" s="1"/>
      <c r="O35" s="1"/>
      <c r="P35" s="1"/>
      <c r="Q35" s="1"/>
      <c r="R35" s="1"/>
    </row>
    <row r="36" spans="1:18" ht="15" customHeight="1">
      <c r="A36" s="82"/>
      <c r="B36" s="39" t="str">
        <f>IF(Info!H8&gt;2.5,"Upper fabrication dimension",IF(Info!H8&gt;1.5,"Oberes Werkstattmass",IF(Info!H8&gt;0.5,"Üst ölçü değeri","")))</f>
        <v>Üst ölçü değeri</v>
      </c>
      <c r="C36" s="96" t="s">
        <v>59</v>
      </c>
      <c r="D36" s="33">
        <f>D33+D34</f>
        <v>35.19193118242456</v>
      </c>
      <c r="E36" s="34">
        <f>E33+E34</f>
        <v>35.192100506448135</v>
      </c>
      <c r="F36" s="95"/>
      <c r="G36" s="1"/>
      <c r="H36" s="1"/>
      <c r="I36" s="1"/>
      <c r="J36" s="1"/>
      <c r="K36" s="1"/>
      <c r="L36" s="1"/>
      <c r="M36" s="1"/>
      <c r="N36" s="1"/>
      <c r="O36" s="1"/>
      <c r="P36" s="1"/>
      <c r="Q36" s="1"/>
      <c r="R36" s="1"/>
    </row>
    <row r="37" spans="1:18" ht="15" customHeight="1">
      <c r="A37" s="82"/>
      <c r="B37" s="39" t="str">
        <f>IF(Info!H8&gt;2.5,"Lower fabrication dimension",IF(Info!H8&gt;1.5,"Unteres Werkstattmass",IF(Info!H8&gt;0.5,"Alt ölçü değeri","")))</f>
        <v>Alt ölçü değeri</v>
      </c>
      <c r="C37" s="96" t="s">
        <v>60</v>
      </c>
      <c r="D37" s="33">
        <f>D33+D35</f>
        <v>35.154976001124105</v>
      </c>
      <c r="E37" s="34">
        <f>E33+E35</f>
        <v>35.15514532514768</v>
      </c>
      <c r="F37" s="95"/>
      <c r="G37" s="1"/>
      <c r="H37" s="1"/>
      <c r="I37" s="1"/>
      <c r="J37" s="1"/>
      <c r="K37" s="1"/>
      <c r="L37" s="1"/>
      <c r="M37" s="1"/>
      <c r="N37" s="1"/>
      <c r="O37" s="1"/>
      <c r="P37" s="1"/>
      <c r="Q37" s="1"/>
      <c r="R37" s="1"/>
    </row>
    <row r="38" spans="1:18" ht="15" customHeight="1">
      <c r="A38" s="82"/>
      <c r="B38" s="18" t="str">
        <f>IF(Info!H8&gt;2.5,"Base circle diameter",IF(Info!H8&gt;1.5,"Grundkreisdurchmesser",IF(Info!H8&gt;0.5,"Temel daire çapı","")))</f>
        <v>Temel daire çapı</v>
      </c>
      <c r="C38" s="97" t="s">
        <v>61</v>
      </c>
      <c r="D38" s="33">
        <f>D30*COS(PI()*D19/180)</f>
        <v>75.81627358850606</v>
      </c>
      <c r="E38" s="34">
        <f>E30*COS(PI()*D19/180)</f>
        <v>75.81627358850606</v>
      </c>
      <c r="F38" s="95"/>
      <c r="G38" s="1"/>
      <c r="H38" s="1"/>
      <c r="I38" s="1"/>
      <c r="J38" s="1"/>
      <c r="K38" s="1"/>
      <c r="L38" s="1"/>
      <c r="M38" s="1"/>
      <c r="N38" s="1"/>
      <c r="O38" s="1"/>
      <c r="P38" s="1"/>
      <c r="Q38" s="1"/>
      <c r="R38" s="1"/>
    </row>
    <row r="39" spans="1:18" ht="15" customHeight="1">
      <c r="A39" s="82"/>
      <c r="B39" s="22" t="str">
        <f>IF(Info!H8&gt;2.5,"Transverse contact ratio",IF(Info!H8&gt;1.5,"Profilüberdeckung",IF(Info!H8&gt;0.5,"Profil kavrama oranı","")))</f>
        <v>Profil kavrama oranı</v>
      </c>
      <c r="C39" s="98" t="s">
        <v>56</v>
      </c>
      <c r="D39" s="31">
        <f>((0.5*((D31^2-D38^2)^(0.5)+(E31^2-E38^2)^(0.5))-D13*SIN(PI()*D21/180))/(PI()*D18*COS(PI()*D19/180)))</f>
        <v>1.2945791784120342</v>
      </c>
      <c r="E39" s="30"/>
      <c r="P39" s="1"/>
      <c r="Q39" s="1"/>
      <c r="R39" s="1"/>
    </row>
    <row r="40" spans="1:18" ht="15" customHeight="1">
      <c r="A40" s="82"/>
      <c r="B40" s="143"/>
      <c r="C40" s="98" t="s">
        <v>88</v>
      </c>
      <c r="D40" s="31">
        <f>((0.5*((D31^2-D38^2)^(0.5)+(E31^2-E38^2)^(0.5))-D13*SIN(PI()*D21/180))/(PI()*D18*COS(PI()*D19/180)))/(COS(D26*PI()/180))^2</f>
        <v>1.3287790054418045</v>
      </c>
      <c r="E40" s="30"/>
      <c r="F40" s="117" t="str">
        <f>IF(Info!H8&gt;2.5,"Remarks :",IF(Info!H8&gt;1.5,"Bemerkung :","Düşünceler :"))</f>
        <v>Düşünceler :</v>
      </c>
      <c r="G40" s="268"/>
      <c r="H40" s="268"/>
      <c r="I40" s="268"/>
      <c r="J40" s="268"/>
      <c r="K40" s="268"/>
      <c r="L40" s="268"/>
      <c r="M40" s="268"/>
      <c r="N40" s="268"/>
      <c r="O40" s="268"/>
      <c r="P40" s="1"/>
      <c r="Q40" s="1"/>
      <c r="R40" s="1"/>
    </row>
    <row r="41" spans="1:18" ht="15" customHeight="1">
      <c r="A41" s="82"/>
      <c r="B41" s="40" t="str">
        <f>IF(Info!H8&gt;2.5,"Overlap ratio",IF(Info!H8&gt;1.5,"Sprungüberdeckung",IF(Info!H8&gt;0.5,"Helis kavrama oranı","")))</f>
        <v>Helis kavrama oranı</v>
      </c>
      <c r="C41" s="99" t="s">
        <v>62</v>
      </c>
      <c r="D41" s="41">
        <f>E10*SIN(PI()*D11/180)/PI()/D8</f>
        <v>1.8424643889727754</v>
      </c>
      <c r="E41" s="42"/>
      <c r="F41" s="111"/>
      <c r="G41" s="268"/>
      <c r="H41" s="268"/>
      <c r="I41" s="268"/>
      <c r="J41" s="268"/>
      <c r="K41" s="268"/>
      <c r="L41" s="268"/>
      <c r="M41" s="268"/>
      <c r="N41" s="268"/>
      <c r="O41" s="268"/>
      <c r="P41" s="1"/>
      <c r="Q41" s="1"/>
      <c r="R41" s="1"/>
    </row>
    <row r="42" ht="6.75" customHeight="1"/>
  </sheetData>
  <sheetProtection password="EF77" sheet="1" objects="1" scenarios="1"/>
  <mergeCells count="9">
    <mergeCell ref="C3:G3"/>
    <mergeCell ref="C1:G1"/>
    <mergeCell ref="G40:O41"/>
    <mergeCell ref="D8:E8"/>
    <mergeCell ref="D9:E9"/>
    <mergeCell ref="D11:E11"/>
    <mergeCell ref="D13:E13"/>
    <mergeCell ref="D14:E14"/>
    <mergeCell ref="D15:E15"/>
  </mergeCells>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0" r:id="rId3"/>
  <headerFooter alignWithMargins="0">
    <oddFooter>&amp;L&amp;F / &amp;A</oddFooter>
  </headerFooter>
  <ignoredErrors>
    <ignoredError sqref="E39" evalError="1"/>
  </ignoredErrors>
  <legacyDrawing r:id="rId2"/>
  <oleObjects>
    <oleObject progId="AutoCAD.Drawing.15" shapeId="1266166" r:id="rId1"/>
  </oleObjects>
</worksheet>
</file>

<file path=xl/worksheets/sheet4.xml><?xml version="1.0" encoding="utf-8"?>
<worksheet xmlns="http://schemas.openxmlformats.org/spreadsheetml/2006/main" xmlns:r="http://schemas.openxmlformats.org/officeDocument/2006/relationships">
  <sheetPr codeName="Tabelle6"/>
  <dimension ref="B1:Z45"/>
  <sheetViews>
    <sheetView showGridLines="0" showRowColHeaders="0" zoomScale="80" zoomScaleNormal="80" workbookViewId="0" topLeftCell="A1">
      <selection activeCell="M23" sqref="M23"/>
    </sheetView>
  </sheetViews>
  <sheetFormatPr defaultColWidth="11.421875" defaultRowHeight="15" customHeight="1"/>
  <cols>
    <col min="1" max="5" width="4.28125" style="1" customWidth="1"/>
    <col min="6" max="15" width="9.7109375" style="1" customWidth="1"/>
    <col min="16" max="16" width="1.7109375" style="1" customWidth="1"/>
    <col min="17" max="22" width="5.28125" style="1" customWidth="1"/>
    <col min="23" max="23" width="9.7109375" style="1" customWidth="1"/>
    <col min="24" max="24" width="2.7109375" style="1" customWidth="1"/>
    <col min="25" max="25" width="10.421875" style="1" customWidth="1"/>
    <col min="26" max="26" width="5.7109375" style="1" customWidth="1"/>
    <col min="27" max="27" width="28.57421875" style="1" customWidth="1"/>
    <col min="28" max="16384" width="11.421875" style="1" customWidth="1"/>
  </cols>
  <sheetData>
    <row r="1" spans="3:23" ht="15" customHeight="1">
      <c r="C1" s="4"/>
      <c r="D1" s="55" t="str">
        <f>1!B1</f>
        <v>Proje :</v>
      </c>
      <c r="E1" s="278" t="str">
        <f>1!C1</f>
        <v>Plastik makinası redüktörü</v>
      </c>
      <c r="F1" s="278"/>
      <c r="G1" s="278"/>
      <c r="H1" s="278"/>
      <c r="I1" s="278"/>
      <c r="J1" s="278"/>
      <c r="L1" s="142" t="str">
        <f>Info!B7</f>
        <v>www.guven-kutay.ch</v>
      </c>
      <c r="S1" s="9"/>
      <c r="T1" s="9"/>
      <c r="V1" s="13" t="str">
        <f>Info!M7</f>
        <v>Copyright : M. G. Kutay , Ver 10.01</v>
      </c>
      <c r="W1" s="9"/>
    </row>
    <row r="2" spans="3:23" ht="6.75" customHeight="1">
      <c r="C2" s="4"/>
      <c r="D2" s="55"/>
      <c r="L2" s="142"/>
      <c r="S2" s="9"/>
      <c r="T2" s="9"/>
      <c r="V2" s="13"/>
      <c r="W2" s="9"/>
    </row>
    <row r="3" ht="15" customHeight="1">
      <c r="B3" s="89" t="str">
        <f>IF(Info!H8&gt;2.5,"Tolerances and Wk-tolerances",IF(Info!H8&gt;1.5,"Toleranzen und   Wk-Toleranzen",IF(Info!H8&gt;0.5,"Toleranslar ve Wk-Toleransları","")))</f>
        <v>Toleranslar ve Wk-Toleransları</v>
      </c>
    </row>
    <row r="4" ht="6.75" customHeight="1">
      <c r="B4" s="89"/>
    </row>
    <row r="5" spans="5:11" ht="15" customHeight="1">
      <c r="E5" s="9"/>
      <c r="F5" s="6" t="str">
        <f>IF(Info!H8&gt;2.5,"Center distance",IF(Info!H8&gt;1.5,"Achsabstandabmasse  Aa  nach DIN 3964 (Auszug)",IF(Info!H8&gt;0.5,"Alın dişliler için Eksenler arası mesafesi toleransı Aa (DIN 3964)","")))</f>
        <v>Alın dişliler için Eksenler arası mesafesi toleransı Aa (DIN 3964)</v>
      </c>
      <c r="G5" s="9"/>
      <c r="H5" s="9"/>
      <c r="I5" s="9"/>
      <c r="J5" s="9"/>
      <c r="K5" s="9"/>
    </row>
    <row r="6" spans="5:22" ht="15" customHeight="1">
      <c r="E6" s="282" t="s">
        <v>81</v>
      </c>
      <c r="F6" s="118" t="s">
        <v>10</v>
      </c>
      <c r="G6" s="119">
        <f>IF(Q7&gt;5.5,"",IF(Q7&lt;4.5,"","XXXXXX"))</f>
      </c>
      <c r="H6" s="119">
        <f>IF(Q7&gt;6.5,"",IF(Q7&lt;5.5,"","XXXXXX"))</f>
      </c>
      <c r="I6" s="119" t="str">
        <f>IF(Q7&gt;7.5,"",IF(Q7&lt;6.5,"","XXXXXX"))</f>
        <v>XXXXXX</v>
      </c>
      <c r="J6" s="119">
        <f>IF(Q7&gt;8.5,"",IF(Q7&lt;7.5,"","XXXXXX"))</f>
      </c>
      <c r="K6" s="120">
        <f>IF(Q7&gt;9.5,"",IF(Q7&lt;8.5,"","XXXXXX"))</f>
      </c>
      <c r="M6" s="288" t="str">
        <f>1!B3</f>
        <v>Kullanıldığı yer;</v>
      </c>
      <c r="N6" s="289"/>
      <c r="O6" s="289"/>
      <c r="P6" s="289"/>
      <c r="Q6" s="284" t="str">
        <f>IF(Info!H8&gt;2.5,"Aa-Line",IF(Info!H8&gt;1.5,"Aa-Reihe",IF(Info!H8&gt;0.5,"Aa-Tol.","")))</f>
        <v>Aa-Tol.</v>
      </c>
      <c r="R6" s="284"/>
      <c r="S6" s="284" t="str">
        <f>IF(Info!H8&gt;2.5,"Asne-Line",IF(Info!H8&gt;1.5,"Asne-Reihe",IF(Info!H8&gt;0.5,"Asne-Tol.","")))</f>
        <v>Asne-Tol.</v>
      </c>
      <c r="T6" s="284"/>
      <c r="U6" s="284" t="str">
        <f>IF(Info!H8&gt;2.5,"Tsn-Line",IF(Info!H8&gt;1.5,"Tsn-Reihe",IF(Info!H8&gt;0.5,"Tsn-Tol.","")))</f>
        <v>Tsn-Tol.</v>
      </c>
      <c r="V6" s="287"/>
    </row>
    <row r="7" spans="5:22" ht="15" customHeight="1">
      <c r="E7" s="282"/>
      <c r="F7" s="64" t="s">
        <v>14</v>
      </c>
      <c r="G7" s="45" t="s">
        <v>15</v>
      </c>
      <c r="H7" s="45" t="s">
        <v>16</v>
      </c>
      <c r="I7" s="45" t="s">
        <v>17</v>
      </c>
      <c r="J7" s="45" t="s">
        <v>18</v>
      </c>
      <c r="K7" s="46" t="s">
        <v>19</v>
      </c>
      <c r="M7" s="285" t="str">
        <f>1!C3</f>
        <v>5K - Tahrik dişlisi 2, Pınyon</v>
      </c>
      <c r="N7" s="286"/>
      <c r="O7" s="286"/>
      <c r="P7" s="286"/>
      <c r="Q7" s="280">
        <v>7</v>
      </c>
      <c r="R7" s="280"/>
      <c r="S7" s="279" t="s">
        <v>32</v>
      </c>
      <c r="T7" s="279"/>
      <c r="U7" s="279">
        <v>25</v>
      </c>
      <c r="V7" s="296"/>
    </row>
    <row r="8" spans="5:11" ht="15" customHeight="1">
      <c r="E8" s="121">
        <f>IF(AND(H20&lt;18.05,H20&gt;10),"==&gt;","")</f>
      </c>
      <c r="F8" s="65" t="s">
        <v>21</v>
      </c>
      <c r="G8" s="66">
        <v>4</v>
      </c>
      <c r="H8" s="66">
        <v>5.5</v>
      </c>
      <c r="I8" s="66">
        <v>9</v>
      </c>
      <c r="J8" s="66">
        <v>13</v>
      </c>
      <c r="K8" s="67">
        <v>21</v>
      </c>
    </row>
    <row r="9" spans="5:11" ht="15" customHeight="1">
      <c r="E9" s="121">
        <f>IF(AND(H20&lt;30.05,H20&gt;18),"==&gt;","")</f>
      </c>
      <c r="F9" s="48" t="s">
        <v>1</v>
      </c>
      <c r="G9" s="49">
        <v>4.5</v>
      </c>
      <c r="H9" s="49">
        <v>6.5</v>
      </c>
      <c r="I9" s="49">
        <v>10</v>
      </c>
      <c r="J9" s="49">
        <v>16</v>
      </c>
      <c r="K9" s="50">
        <v>26</v>
      </c>
    </row>
    <row r="10" spans="5:22" ht="15" customHeight="1">
      <c r="E10" s="121">
        <f>IF(AND(H20&lt;50.05,H20&gt;30),"==&gt;","")</f>
      </c>
      <c r="F10" s="65" t="s">
        <v>0</v>
      </c>
      <c r="G10" s="66">
        <v>5.5</v>
      </c>
      <c r="H10" s="66">
        <v>8</v>
      </c>
      <c r="I10" s="66">
        <v>12</v>
      </c>
      <c r="J10" s="66">
        <v>19</v>
      </c>
      <c r="K10" s="67">
        <v>31</v>
      </c>
      <c r="M10" s="6" t="str">
        <f>IF(Info!H8&gt;2.5,"Selection criteria after Seifert of the tolerances for center distance and of pitches",IF(Info!H8&gt;1.5,"Auswahlkriterien der Toleranzen für Achsabstand und Zahnweiten nach Seifert",IF(Info!H8&gt;0.5,"Seifert e göre Tolerans seçim kılavuzu","")))</f>
        <v>Seifert e göre Tolerans seçim kılavuzu</v>
      </c>
      <c r="N10" s="9"/>
      <c r="P10" s="9"/>
      <c r="V10" s="9"/>
    </row>
    <row r="11" spans="5:22" ht="15" customHeight="1">
      <c r="E11" s="121">
        <f>IF(AND(H20&lt;80.05,H20&gt;50),"==&gt;","")</f>
      </c>
      <c r="F11" s="48" t="s">
        <v>23</v>
      </c>
      <c r="G11" s="49">
        <v>6.5</v>
      </c>
      <c r="H11" s="49">
        <v>9.5</v>
      </c>
      <c r="I11" s="49">
        <v>15</v>
      </c>
      <c r="J11" s="49">
        <v>23</v>
      </c>
      <c r="K11" s="50">
        <v>37</v>
      </c>
      <c r="M11" s="10" t="str">
        <f>1!B3</f>
        <v>Kullanıldığı yer;</v>
      </c>
      <c r="N11" s="14"/>
      <c r="O11" s="122"/>
      <c r="P11" s="14"/>
      <c r="Q11" s="292" t="str">
        <f>IF(Info!H8&gt;2.5,"Aa-Line",IF(Info!H8&gt;1.5,"Aa-Reihe",IF(Info!H8&gt;0.5,"Aa-Tol.","")))</f>
        <v>Aa-Tol.</v>
      </c>
      <c r="R11" s="292"/>
      <c r="S11" s="292" t="str">
        <f>IF(Info!H8&gt;2.5,"Asne-Line",IF(Info!H8&gt;1.5,"Asne-Reihe",IF(Info!H8&gt;0.5,"Asne-Tol.","")))</f>
        <v>Asne-Tol.</v>
      </c>
      <c r="T11" s="292"/>
      <c r="U11" s="292" t="str">
        <f>IF(Info!H8&gt;2.5,"Tsn-Line",IF(Info!H8&gt;1.5,"Tsn-Reihe",IF(Info!H8&gt;0.5,"Tsn-Tol.","")))</f>
        <v>Tsn-Tol.</v>
      </c>
      <c r="V11" s="293"/>
    </row>
    <row r="12" spans="5:22" ht="15" customHeight="1">
      <c r="E12" s="121" t="str">
        <f>IF(AND(H20&lt;120.05,H20&gt;80),"==&gt;","")</f>
        <v>==&gt;</v>
      </c>
      <c r="F12" s="65" t="s">
        <v>24</v>
      </c>
      <c r="G12" s="66">
        <v>7.5</v>
      </c>
      <c r="H12" s="66">
        <v>11</v>
      </c>
      <c r="I12" s="66">
        <v>17</v>
      </c>
      <c r="J12" s="66">
        <v>27</v>
      </c>
      <c r="K12" s="67">
        <v>43</v>
      </c>
      <c r="M12" s="44" t="str">
        <f>IF(Info!H8&gt;2.5,"General machine building",IF(Info!H8&gt;1.5,"Allgemeiner Maschinenbau",IF(Info!H8&gt;0.5,"Genel makina tahrikleri","")))</f>
        <v>Genel makina tahrikleri</v>
      </c>
      <c r="N12" s="52"/>
      <c r="O12" s="123"/>
      <c r="P12" s="52"/>
      <c r="Q12" s="281" t="s">
        <v>5</v>
      </c>
      <c r="R12" s="281"/>
      <c r="S12" s="281" t="s">
        <v>4</v>
      </c>
      <c r="T12" s="281"/>
      <c r="U12" s="281">
        <v>26</v>
      </c>
      <c r="V12" s="295"/>
    </row>
    <row r="13" spans="5:22" ht="15" customHeight="1">
      <c r="E13" s="121">
        <f>IF(AND(H20&lt;180.05,H20&gt;120),"==&gt;","")</f>
      </c>
      <c r="F13" s="48" t="s">
        <v>25</v>
      </c>
      <c r="G13" s="49">
        <v>9</v>
      </c>
      <c r="H13" s="49">
        <v>12</v>
      </c>
      <c r="I13" s="49">
        <v>20</v>
      </c>
      <c r="J13" s="49">
        <v>31</v>
      </c>
      <c r="K13" s="50">
        <v>50</v>
      </c>
      <c r="M13" s="63" t="str">
        <f>IF(Info!H8&gt;2.5,"Pairs of scissors, traversing gears",IF(Info!H8&gt;1.5,"dsgl. reversierend, Scheren, Fahrw.",IF(Info!H8&gt;0.5,"Makas tahrikleri, Yürüyüş tahrikleri","")))</f>
        <v>Makas tahrikleri, Yürüyüş tahrikleri</v>
      </c>
      <c r="N13" s="53"/>
      <c r="O13" s="124"/>
      <c r="P13" s="53"/>
      <c r="Q13" s="283" t="s">
        <v>7</v>
      </c>
      <c r="R13" s="283"/>
      <c r="S13" s="283" t="s">
        <v>6</v>
      </c>
      <c r="T13" s="283"/>
      <c r="U13" s="283">
        <v>25</v>
      </c>
      <c r="V13" s="294"/>
    </row>
    <row r="14" spans="5:22" ht="15" customHeight="1">
      <c r="E14" s="121">
        <f>IF(AND(H20&lt;250.05,H20&gt;180),"==&gt;","")</f>
      </c>
      <c r="F14" s="65" t="s">
        <v>26</v>
      </c>
      <c r="G14" s="66">
        <v>10</v>
      </c>
      <c r="H14" s="66">
        <v>14.5</v>
      </c>
      <c r="I14" s="66">
        <v>23</v>
      </c>
      <c r="J14" s="66">
        <v>36</v>
      </c>
      <c r="K14" s="67">
        <v>57</v>
      </c>
      <c r="M14" s="44" t="str">
        <f>IF(Info!H8&gt;2.5,"Machine tools",IF(Info!H8&gt;1.5,"Werkzeugmaschinen",IF(Info!H8&gt;0.5,"Takım ve imalat makinaları","")))</f>
        <v>Takım ve imalat makinaları</v>
      </c>
      <c r="N14" s="52"/>
      <c r="O14" s="123"/>
      <c r="P14" s="52"/>
      <c r="Q14" s="281" t="s">
        <v>7</v>
      </c>
      <c r="R14" s="281"/>
      <c r="S14" s="281" t="s">
        <v>8</v>
      </c>
      <c r="T14" s="281"/>
      <c r="U14" s="281" t="s">
        <v>9</v>
      </c>
      <c r="V14" s="295"/>
    </row>
    <row r="15" spans="5:24" ht="13.5" customHeight="1">
      <c r="E15" s="121">
        <f>IF(AND(H20&lt;315.05,H20&gt;250),"==&gt;","")</f>
      </c>
      <c r="F15" s="48" t="s">
        <v>27</v>
      </c>
      <c r="G15" s="49">
        <v>11</v>
      </c>
      <c r="H15" s="49">
        <v>16</v>
      </c>
      <c r="I15" s="49">
        <v>26</v>
      </c>
      <c r="J15" s="49">
        <v>40</v>
      </c>
      <c r="K15" s="50">
        <v>65</v>
      </c>
      <c r="L15" s="4"/>
      <c r="M15" s="47" t="str">
        <f>IF(Info!H8&gt;2.5,"Agricultural machinery",IF(Info!H8&gt;1.5,"Landmaschinen",IF(Info!H8&gt;0.5,"Arazi ve Ziraat makinaları","")))</f>
        <v>Arazi ve Ziraat makinaları</v>
      </c>
      <c r="N15" s="53"/>
      <c r="O15" s="53"/>
      <c r="P15" s="53"/>
      <c r="Q15" s="283" t="s">
        <v>13</v>
      </c>
      <c r="R15" s="283"/>
      <c r="S15" s="283" t="s">
        <v>11</v>
      </c>
      <c r="T15" s="283"/>
      <c r="U15" s="283" t="s">
        <v>12</v>
      </c>
      <c r="V15" s="294"/>
      <c r="W15" s="4"/>
      <c r="X15" s="4"/>
    </row>
    <row r="16" spans="5:22" ht="13.5" customHeight="1">
      <c r="E16" s="121">
        <f>IF(AND(H20&lt;400.05,H20&gt;315),"==&gt;","")</f>
      </c>
      <c r="F16" s="65" t="s">
        <v>28</v>
      </c>
      <c r="G16" s="66">
        <v>12</v>
      </c>
      <c r="H16" s="66">
        <v>18</v>
      </c>
      <c r="I16" s="66">
        <v>28</v>
      </c>
      <c r="J16" s="66">
        <v>44</v>
      </c>
      <c r="K16" s="67">
        <v>70</v>
      </c>
      <c r="M16" s="44" t="str">
        <f>IF(Info!H8&gt;2.5,"Motor vehicles",IF(Info!H8&gt;1.5,"Kraftfahrzeuge",IF(Info!H8&gt;0.5,"Kamyon ve İş makinaları","")))</f>
        <v>Kamyon ve İş makinaları</v>
      </c>
      <c r="N16" s="52"/>
      <c r="O16" s="52"/>
      <c r="P16" s="52"/>
      <c r="Q16" s="281" t="s">
        <v>5</v>
      </c>
      <c r="R16" s="281"/>
      <c r="S16" s="281" t="s">
        <v>20</v>
      </c>
      <c r="T16" s="281"/>
      <c r="U16" s="281">
        <v>26</v>
      </c>
      <c r="V16" s="295"/>
    </row>
    <row r="17" spans="5:24" ht="13.5" customHeight="1">
      <c r="E17" s="121">
        <f>IF(AND(H20&lt;500.05,H20&gt;400),"==&gt;","")</f>
      </c>
      <c r="F17" s="72" t="s">
        <v>29</v>
      </c>
      <c r="G17" s="73">
        <v>14</v>
      </c>
      <c r="H17" s="73">
        <v>20</v>
      </c>
      <c r="I17" s="73">
        <v>31</v>
      </c>
      <c r="J17" s="73">
        <v>48</v>
      </c>
      <c r="K17" s="74">
        <v>77</v>
      </c>
      <c r="L17" s="125"/>
      <c r="M17" s="61" t="str">
        <f>IF(Info!H8&gt;2.5,"Epoxy machines",IF(Info!H8&gt;1.5,"Kunststoffmaschinen, Lok-Antriebe",IF(Info!H8&gt;0.5,"Plastik makinaları, Lokomotif tahriki","")))</f>
        <v>Plastik makinaları, Lokomotif tahriki</v>
      </c>
      <c r="N17" s="62"/>
      <c r="O17" s="62"/>
      <c r="P17" s="62"/>
      <c r="Q17" s="290" t="s">
        <v>5</v>
      </c>
      <c r="R17" s="290"/>
      <c r="S17" s="290" t="s">
        <v>22</v>
      </c>
      <c r="T17" s="290"/>
      <c r="U17" s="290">
        <v>25</v>
      </c>
      <c r="V17" s="291"/>
      <c r="W17" s="9"/>
      <c r="X17" s="9"/>
    </row>
    <row r="18" spans="5:25" ht="13.5" customHeight="1" thickBot="1">
      <c r="E18" s="9"/>
      <c r="P18" s="94"/>
      <c r="Q18" s="94"/>
      <c r="R18" s="94"/>
      <c r="S18" s="94"/>
      <c r="T18" s="94"/>
      <c r="U18" s="94"/>
      <c r="V18" s="94"/>
      <c r="X18" s="9"/>
      <c r="Y18" s="9"/>
    </row>
    <row r="19" spans="5:25" ht="13.5" customHeight="1">
      <c r="E19" s="9"/>
      <c r="F19" s="194" t="str">
        <f>1!B13</f>
        <v>Eksenler arası mesafe</v>
      </c>
      <c r="G19" s="195"/>
      <c r="H19" s="130" t="str">
        <f>1!D6</f>
        <v>Pinyon</v>
      </c>
      <c r="I19" s="131" t="str">
        <f>1!E6</f>
        <v>Çark</v>
      </c>
      <c r="P19" s="94"/>
      <c r="Q19" s="94"/>
      <c r="R19" s="94"/>
      <c r="S19" s="94"/>
      <c r="T19" s="94"/>
      <c r="U19" s="94"/>
      <c r="V19" s="94"/>
      <c r="X19" s="9"/>
      <c r="Y19" s="9"/>
    </row>
    <row r="20" spans="6:25" ht="13.5" customHeight="1">
      <c r="F20" s="196"/>
      <c r="G20" s="197"/>
      <c r="H20" s="298">
        <f>1!D13</f>
        <v>84.5</v>
      </c>
      <c r="I20" s="299"/>
      <c r="X20" s="9"/>
      <c r="Y20" s="9"/>
    </row>
    <row r="21" spans="6:9" ht="13.5" customHeight="1">
      <c r="F21" s="307" t="s">
        <v>78</v>
      </c>
      <c r="G21" s="308"/>
      <c r="H21" s="300">
        <v>0.017</v>
      </c>
      <c r="I21" s="301"/>
    </row>
    <row r="22" spans="6:9" ht="13.5" customHeight="1">
      <c r="F22" s="307" t="s">
        <v>20</v>
      </c>
      <c r="G22" s="308"/>
      <c r="H22" s="132">
        <f>1!D30</f>
        <v>82.24955556274534</v>
      </c>
      <c r="I22" s="133">
        <f>1!E30</f>
        <v>82.24955556274534</v>
      </c>
    </row>
    <row r="23" spans="6:9" ht="13.5" customHeight="1">
      <c r="F23" s="307" t="s">
        <v>79</v>
      </c>
      <c r="G23" s="308"/>
      <c r="H23" s="134">
        <v>70</v>
      </c>
      <c r="I23" s="135">
        <v>70</v>
      </c>
    </row>
    <row r="24" spans="6:9" ht="13.5" customHeight="1">
      <c r="F24" s="307" t="s">
        <v>80</v>
      </c>
      <c r="G24" s="308"/>
      <c r="H24" s="136">
        <v>40</v>
      </c>
      <c r="I24" s="137">
        <v>40</v>
      </c>
    </row>
    <row r="25" spans="6:9" ht="13.5" customHeight="1">
      <c r="F25" s="307" t="s">
        <v>57</v>
      </c>
      <c r="G25" s="308"/>
      <c r="H25" s="138">
        <f>H23*COS(1!D9*PI()/180)/(-10^3)</f>
        <v>-0.06467156727579007</v>
      </c>
      <c r="I25" s="139">
        <f>I23*COS(1!D9*PI()/180)/(-10^3)</f>
        <v>-0.06467156727579007</v>
      </c>
    </row>
    <row r="26" spans="6:9" ht="13.5" customHeight="1" thickBot="1">
      <c r="F26" s="309" t="s">
        <v>58</v>
      </c>
      <c r="G26" s="310"/>
      <c r="H26" s="140">
        <f>(H23+H24)*COS(1!D9*PI()/180)/(-10^3)</f>
        <v>-0.10162674857624154</v>
      </c>
      <c r="I26" s="141">
        <f>(I23+I24)*COS(1!D9*PI()/180)/(-10^3)</f>
        <v>-0.10162674857624154</v>
      </c>
    </row>
    <row r="27" spans="5:25" ht="13.5" customHeight="1">
      <c r="E27" s="9"/>
      <c r="F27" s="5" t="str">
        <f>IF(Info!H8&gt;2.5,"Upper teething fat person limit Asne in µ m according to DIN 3967 (excerpt)",IF(Info!H8&gt;1.5,"Obere Zahndickenabmass  Asne in µm nach DIN 3967 (Auszug)",IF(Info!H8&gt;0.5,"Dişkalınlığı üst tolerans mesafesi Asne [µm] DIN 3967 ye göre","")))</f>
        <v>Dişkalınlığı üst tolerans mesafesi Asne [µm] DIN 3967 ye göre</v>
      </c>
      <c r="G27" s="9"/>
      <c r="H27" s="9"/>
      <c r="I27" s="9"/>
      <c r="J27" s="9"/>
      <c r="K27" s="9"/>
      <c r="U27" s="9"/>
      <c r="Y27" s="9"/>
    </row>
    <row r="28" spans="5:25" ht="13.5" customHeight="1">
      <c r="E28" s="302" t="s">
        <v>82</v>
      </c>
      <c r="F28" s="303" t="str">
        <f>1!B30</f>
        <v>Taksimat dairesi</v>
      </c>
      <c r="G28" s="119">
        <f>IF(S7="a","XXXXXX","")</f>
      </c>
      <c r="H28" s="119">
        <f>IF(S7="ab","XXXXXX","")</f>
      </c>
      <c r="I28" s="119">
        <f>IF(S7="b","XXXXXX","")</f>
      </c>
      <c r="J28" s="119">
        <f>IF(S7="bc","XXXXXX","")</f>
      </c>
      <c r="K28" s="119">
        <f>IF(S7="c","XXXXXX","")</f>
      </c>
      <c r="L28" s="119" t="str">
        <f>IF(S7="cd","XXXXXX","")</f>
        <v>XXXXXX</v>
      </c>
      <c r="M28" s="119">
        <f>IF(S7="d","XXXXXX","")</f>
      </c>
      <c r="N28" s="119">
        <f>IF(S7="e","XXXXXX","")</f>
      </c>
      <c r="O28" s="120">
        <f>IF(S7="f","XXXXXX","")</f>
      </c>
      <c r="Q28" s="297" t="s">
        <v>83</v>
      </c>
      <c r="X28" s="9"/>
      <c r="Y28" s="9"/>
    </row>
    <row r="29" spans="5:26" ht="13.5" customHeight="1">
      <c r="E29" s="302"/>
      <c r="F29" s="304"/>
      <c r="G29" s="45" t="s">
        <v>10</v>
      </c>
      <c r="H29" s="45" t="s">
        <v>30</v>
      </c>
      <c r="I29" s="45" t="s">
        <v>4</v>
      </c>
      <c r="J29" s="45" t="s">
        <v>31</v>
      </c>
      <c r="K29" s="57" t="s">
        <v>6</v>
      </c>
      <c r="L29" s="57" t="s">
        <v>32</v>
      </c>
      <c r="M29" s="57" t="s">
        <v>20</v>
      </c>
      <c r="N29" s="57" t="s">
        <v>11</v>
      </c>
      <c r="O29" s="75" t="s">
        <v>8</v>
      </c>
      <c r="Q29" s="297"/>
      <c r="X29" s="9"/>
      <c r="Y29" s="9"/>
      <c r="Z29" s="2"/>
    </row>
    <row r="30" spans="5:26" ht="13.5" customHeight="1">
      <c r="E30" s="126">
        <f>IF($H$22&lt;10,"==&gt;","")</f>
      </c>
      <c r="F30" s="68" t="s">
        <v>33</v>
      </c>
      <c r="G30" s="69">
        <v>-100</v>
      </c>
      <c r="H30" s="69">
        <v>-85</v>
      </c>
      <c r="I30" s="69">
        <v>-70</v>
      </c>
      <c r="J30" s="69">
        <v>-58</v>
      </c>
      <c r="K30" s="70">
        <v>-48</v>
      </c>
      <c r="L30" s="70">
        <v>-40</v>
      </c>
      <c r="M30" s="70">
        <v>-33</v>
      </c>
      <c r="N30" s="70">
        <v>-22</v>
      </c>
      <c r="O30" s="71">
        <v>-10</v>
      </c>
      <c r="Q30" s="127">
        <f>IF($I$22&lt;10,"&lt;==","")</f>
      </c>
      <c r="Y30" s="9"/>
      <c r="Z30" s="2"/>
    </row>
    <row r="31" spans="5:17" ht="13.5" customHeight="1">
      <c r="E31" s="126">
        <f>IF(AND($H$22&lt;50.05,$H$22&gt;10),"==&gt;","")</f>
      </c>
      <c r="F31" s="48" t="s">
        <v>34</v>
      </c>
      <c r="G31" s="51">
        <v>-135</v>
      </c>
      <c r="H31" s="51">
        <v>-110</v>
      </c>
      <c r="I31" s="51">
        <v>-95</v>
      </c>
      <c r="J31" s="51">
        <v>-75</v>
      </c>
      <c r="K31" s="58">
        <v>-65</v>
      </c>
      <c r="L31" s="58">
        <v>-54</v>
      </c>
      <c r="M31" s="58">
        <v>-44</v>
      </c>
      <c r="N31" s="58">
        <v>-30</v>
      </c>
      <c r="O31" s="59">
        <v>-14</v>
      </c>
      <c r="Q31" s="127">
        <f>IF(AND($I$22&lt;50.05,$I$22&gt;10),"&lt;==","")</f>
      </c>
    </row>
    <row r="32" spans="5:26" ht="13.5" customHeight="1">
      <c r="E32" s="126" t="str">
        <f>IF(AND($H$22&lt;125.05,$H$22&gt;50),"==&gt;","")</f>
        <v>==&gt;</v>
      </c>
      <c r="F32" s="65" t="s">
        <v>35</v>
      </c>
      <c r="G32" s="69">
        <v>-180</v>
      </c>
      <c r="H32" s="69">
        <v>-150</v>
      </c>
      <c r="I32" s="69">
        <v>-125</v>
      </c>
      <c r="J32" s="69">
        <v>-105</v>
      </c>
      <c r="K32" s="70">
        <v>-85</v>
      </c>
      <c r="L32" s="70">
        <v>-70</v>
      </c>
      <c r="M32" s="70">
        <v>-60</v>
      </c>
      <c r="N32" s="70">
        <v>-40</v>
      </c>
      <c r="O32" s="71">
        <v>-19</v>
      </c>
      <c r="Q32" s="127" t="str">
        <f>IF(AND($I$22&lt;125.05,$I$22&gt;50),"&lt;==","")</f>
        <v>&lt;==</v>
      </c>
      <c r="Y32" s="9"/>
      <c r="Z32" s="2"/>
    </row>
    <row r="33" spans="5:26" ht="13.5" customHeight="1">
      <c r="E33" s="126">
        <f>IF(AND($H$22&lt;280.05,$H$22&gt;125),"==&gt;","")</f>
      </c>
      <c r="F33" s="48" t="s">
        <v>36</v>
      </c>
      <c r="G33" s="51">
        <v>-250</v>
      </c>
      <c r="H33" s="51">
        <v>-200</v>
      </c>
      <c r="I33" s="51">
        <v>-170</v>
      </c>
      <c r="J33" s="51">
        <v>-140</v>
      </c>
      <c r="K33" s="58">
        <v>-115</v>
      </c>
      <c r="L33" s="58">
        <v>-95</v>
      </c>
      <c r="M33" s="58">
        <v>-80</v>
      </c>
      <c r="N33" s="58">
        <v>-56</v>
      </c>
      <c r="O33" s="59">
        <v>-26</v>
      </c>
      <c r="Q33" s="127">
        <f>IF(AND($I$22&lt;280.05,$I$22&gt;125),"&lt;==","")</f>
      </c>
      <c r="Y33" s="9"/>
      <c r="Z33" s="2"/>
    </row>
    <row r="34" spans="5:26" ht="13.5" customHeight="1">
      <c r="E34" s="126">
        <f>IF(AND($H$22&lt;560.05,$H$22&gt;280),"==&gt;","")</f>
      </c>
      <c r="F34" s="65" t="s">
        <v>37</v>
      </c>
      <c r="G34" s="69">
        <v>-330</v>
      </c>
      <c r="H34" s="69">
        <v>-280</v>
      </c>
      <c r="I34" s="69">
        <v>-230</v>
      </c>
      <c r="J34" s="69">
        <v>-190</v>
      </c>
      <c r="K34" s="70">
        <v>-155</v>
      </c>
      <c r="L34" s="70">
        <v>-130</v>
      </c>
      <c r="M34" s="70">
        <v>-110</v>
      </c>
      <c r="N34" s="70">
        <v>-75</v>
      </c>
      <c r="O34" s="71">
        <v>-35</v>
      </c>
      <c r="Q34" s="127">
        <f>IF(AND($I$22&lt;560.05,$I$22&gt;280),"&lt;==","")</f>
      </c>
      <c r="Y34" s="9"/>
      <c r="Z34" s="2"/>
    </row>
    <row r="35" spans="5:26" ht="13.5" customHeight="1">
      <c r="E35" s="126">
        <f>IF(AND($H$22&lt;1000.05,$H$22&gt;560),"==&gt;","")</f>
      </c>
      <c r="F35" s="72" t="s">
        <v>38</v>
      </c>
      <c r="G35" s="76">
        <v>-450</v>
      </c>
      <c r="H35" s="76">
        <v>-370</v>
      </c>
      <c r="I35" s="76">
        <v>-310</v>
      </c>
      <c r="J35" s="76">
        <v>-260</v>
      </c>
      <c r="K35" s="77">
        <v>-210</v>
      </c>
      <c r="L35" s="77">
        <v>-175</v>
      </c>
      <c r="M35" s="77">
        <v>-145</v>
      </c>
      <c r="N35" s="77">
        <v>-100</v>
      </c>
      <c r="O35" s="78">
        <v>-48</v>
      </c>
      <c r="Q35" s="127">
        <f>IF(AND($I$22&lt;1000.05,$I$22&gt;560),"&lt;==","")</f>
      </c>
      <c r="Y35" s="9"/>
      <c r="Z35" s="2"/>
    </row>
    <row r="36" spans="6:26" ht="13.5" customHeight="1">
      <c r="F36" s="5" t="str">
        <f>IF(Info!H8&gt;2.5,"Teething fat person tolerance TSN in µ m according to DIN 3967 (excerpt)",IF(Info!H8&gt;1.5,"Zahndickentoleranz Tsn in µm nach DIN 3967 (Auszug)",IF(Info!H8&gt;0.5,"Dişkalınlığı tolerans genişliği Tsn [µm] DIN 3967 ye göre","")))</f>
        <v>Dişkalınlığı tolerans genişliği Tsn [µm] DIN 3967 ye göre</v>
      </c>
      <c r="G36" s="9"/>
      <c r="H36" s="9"/>
      <c r="I36" s="9"/>
      <c r="J36" s="9"/>
      <c r="K36" s="54"/>
      <c r="L36" s="54"/>
      <c r="M36" s="54"/>
      <c r="N36" s="54"/>
      <c r="O36" s="54"/>
      <c r="Q36" s="128"/>
      <c r="Z36" s="2"/>
    </row>
    <row r="37" spans="5:26" ht="13.5" customHeight="1">
      <c r="E37" s="302" t="s">
        <v>82</v>
      </c>
      <c r="F37" s="305" t="str">
        <f>F28</f>
        <v>Taksimat dairesi</v>
      </c>
      <c r="G37" s="119">
        <f>IF(U7=21,"XXXXXX","")</f>
      </c>
      <c r="H37" s="119">
        <f>IF(U7=22,"XXXXXX","")</f>
      </c>
      <c r="I37" s="119">
        <f>IF(U7=23,"XXXXXX","")</f>
      </c>
      <c r="J37" s="119">
        <f>IF(U7=24,"XXXXXX","")</f>
      </c>
      <c r="K37" s="119" t="str">
        <f>IF(U7=25,"XXXXXX","")</f>
        <v>XXXXXX</v>
      </c>
      <c r="L37" s="119">
        <f>IF(U7=26,"XXXXXX","")</f>
      </c>
      <c r="M37" s="119">
        <f>IF(U7=27,"XXXXXX","")</f>
      </c>
      <c r="N37" s="119">
        <f>IF(U7=28,"XXXXXX","")</f>
      </c>
      <c r="O37" s="120">
        <f>IF(U7=29,"XXXXXX","")</f>
      </c>
      <c r="Q37" s="297" t="s">
        <v>83</v>
      </c>
      <c r="Y37" s="9"/>
      <c r="Z37" s="2"/>
    </row>
    <row r="38" spans="5:26" ht="13.5" customHeight="1">
      <c r="E38" s="302"/>
      <c r="F38" s="306"/>
      <c r="G38" s="79">
        <v>21</v>
      </c>
      <c r="H38" s="79">
        <v>22</v>
      </c>
      <c r="I38" s="79">
        <v>23</v>
      </c>
      <c r="J38" s="79">
        <v>24</v>
      </c>
      <c r="K38" s="80">
        <v>25</v>
      </c>
      <c r="L38" s="80">
        <v>26</v>
      </c>
      <c r="M38" s="80">
        <v>27</v>
      </c>
      <c r="N38" s="80">
        <v>28</v>
      </c>
      <c r="O38" s="81">
        <v>29</v>
      </c>
      <c r="Q38" s="297"/>
      <c r="V38" s="9"/>
      <c r="Y38" s="9"/>
      <c r="Z38" s="2"/>
    </row>
    <row r="39" spans="5:26" ht="13.5" customHeight="1">
      <c r="E39" s="126">
        <f>IF($H$22&lt;10,"==&gt;","")</f>
      </c>
      <c r="F39" s="68" t="s">
        <v>33</v>
      </c>
      <c r="G39" s="69">
        <v>3</v>
      </c>
      <c r="H39" s="69">
        <v>5</v>
      </c>
      <c r="I39" s="69">
        <v>8</v>
      </c>
      <c r="J39" s="69">
        <v>12</v>
      </c>
      <c r="K39" s="70">
        <v>20</v>
      </c>
      <c r="L39" s="70">
        <v>30</v>
      </c>
      <c r="M39" s="70">
        <v>50</v>
      </c>
      <c r="N39" s="70">
        <v>80</v>
      </c>
      <c r="O39" s="71">
        <v>130</v>
      </c>
      <c r="Q39" s="127">
        <f>IF($I$22&lt;10,"&lt;==","")</f>
      </c>
      <c r="V39" s="9"/>
      <c r="W39" s="9"/>
      <c r="X39" s="9"/>
      <c r="Y39" s="9"/>
      <c r="Z39" s="2"/>
    </row>
    <row r="40" spans="5:26" ht="13.5" customHeight="1">
      <c r="E40" s="126">
        <f>IF(AND($H$22&lt;50.05,$H$22&gt;10),"==&gt;","")</f>
      </c>
      <c r="F40" s="48" t="s">
        <v>34</v>
      </c>
      <c r="G40" s="51">
        <v>5</v>
      </c>
      <c r="H40" s="51">
        <v>8</v>
      </c>
      <c r="I40" s="51">
        <v>12</v>
      </c>
      <c r="J40" s="51">
        <v>20</v>
      </c>
      <c r="K40" s="58">
        <v>30</v>
      </c>
      <c r="L40" s="58">
        <v>50</v>
      </c>
      <c r="M40" s="58">
        <v>80</v>
      </c>
      <c r="N40" s="58">
        <v>130</v>
      </c>
      <c r="O40" s="59">
        <v>200</v>
      </c>
      <c r="Q40" s="127">
        <f>IF(AND($I$22&lt;50.05,$I$22&gt;10),"&lt;==","")</f>
      </c>
      <c r="V40" s="9"/>
      <c r="W40" s="9"/>
      <c r="X40" s="9"/>
      <c r="Y40" s="9"/>
      <c r="Z40" s="3"/>
    </row>
    <row r="41" spans="5:26" ht="13.5" customHeight="1">
      <c r="E41" s="126" t="str">
        <f>IF(AND($H$22&lt;125.05,$H$22&gt;50),"==&gt;","")</f>
        <v>==&gt;</v>
      </c>
      <c r="F41" s="65" t="s">
        <v>35</v>
      </c>
      <c r="G41" s="69">
        <v>6</v>
      </c>
      <c r="H41" s="69">
        <v>10</v>
      </c>
      <c r="I41" s="69">
        <v>16</v>
      </c>
      <c r="J41" s="69">
        <v>25</v>
      </c>
      <c r="K41" s="70">
        <v>40</v>
      </c>
      <c r="L41" s="70">
        <v>60</v>
      </c>
      <c r="M41" s="70">
        <v>100</v>
      </c>
      <c r="N41" s="70">
        <v>160</v>
      </c>
      <c r="O41" s="71">
        <v>250</v>
      </c>
      <c r="Q41" s="127" t="str">
        <f>IF(AND($I$22&lt;125.05,$I$22&gt;50),"&lt;==","")</f>
        <v>&lt;==</v>
      </c>
      <c r="V41" s="9"/>
      <c r="W41" s="9"/>
      <c r="X41" s="9"/>
      <c r="Y41" s="9"/>
      <c r="Z41" s="3"/>
    </row>
    <row r="42" spans="5:26" ht="13.5" customHeight="1">
      <c r="E42" s="126">
        <f>IF(AND($H$22&lt;280.05,$H$22&gt;125),"==&gt;","")</f>
      </c>
      <c r="F42" s="48" t="s">
        <v>36</v>
      </c>
      <c r="G42" s="51">
        <v>8</v>
      </c>
      <c r="H42" s="51">
        <v>12</v>
      </c>
      <c r="I42" s="51">
        <v>20</v>
      </c>
      <c r="J42" s="51">
        <v>30</v>
      </c>
      <c r="K42" s="58">
        <v>50</v>
      </c>
      <c r="L42" s="58">
        <v>80</v>
      </c>
      <c r="M42" s="58">
        <v>130</v>
      </c>
      <c r="N42" s="58">
        <v>200</v>
      </c>
      <c r="O42" s="59">
        <v>300</v>
      </c>
      <c r="Q42" s="127">
        <f>IF(AND($I$22&lt;280.05,$I$22&gt;125),"&lt;==","")</f>
      </c>
      <c r="V42" s="9"/>
      <c r="W42" s="9"/>
      <c r="X42" s="9"/>
      <c r="Y42" s="9"/>
      <c r="Z42" s="3"/>
    </row>
    <row r="43" spans="5:26" ht="12.75" customHeight="1">
      <c r="E43" s="126">
        <f>IF(AND($H$22&lt;560.05,$H$22&gt;280),"==&gt;","")</f>
      </c>
      <c r="F43" s="65" t="s">
        <v>37</v>
      </c>
      <c r="G43" s="69">
        <v>10</v>
      </c>
      <c r="H43" s="69">
        <v>16</v>
      </c>
      <c r="I43" s="69">
        <v>25</v>
      </c>
      <c r="J43" s="69">
        <v>40</v>
      </c>
      <c r="K43" s="70">
        <v>60</v>
      </c>
      <c r="L43" s="70">
        <v>100</v>
      </c>
      <c r="M43" s="70">
        <v>160</v>
      </c>
      <c r="N43" s="70">
        <v>250</v>
      </c>
      <c r="O43" s="71">
        <v>400</v>
      </c>
      <c r="Q43" s="127">
        <f>IF(AND($I$22&lt;560.05,$I$22&gt;280),"&lt;==","")</f>
      </c>
      <c r="V43" s="8"/>
      <c r="W43" s="8"/>
      <c r="X43" s="8"/>
      <c r="Y43" s="8"/>
      <c r="Z43" s="3"/>
    </row>
    <row r="44" spans="5:25" ht="12.75" customHeight="1">
      <c r="E44" s="126">
        <f>IF(AND($H$22&lt;1000.05,$H$22&gt;560),"==&gt;","")</f>
      </c>
      <c r="F44" s="72" t="s">
        <v>38</v>
      </c>
      <c r="G44" s="76">
        <v>12</v>
      </c>
      <c r="H44" s="76">
        <v>20</v>
      </c>
      <c r="I44" s="76">
        <v>30</v>
      </c>
      <c r="J44" s="76">
        <v>50</v>
      </c>
      <c r="K44" s="77">
        <v>80</v>
      </c>
      <c r="L44" s="77">
        <v>130</v>
      </c>
      <c r="M44" s="77">
        <v>200</v>
      </c>
      <c r="N44" s="77">
        <v>300</v>
      </c>
      <c r="O44" s="78">
        <v>500</v>
      </c>
      <c r="Q44" s="127">
        <f>IF(AND($I$22&lt;1000.05,$I$22&gt;560),"&lt;==","")</f>
      </c>
      <c r="V44" s="8"/>
      <c r="W44" s="8"/>
      <c r="X44" s="8"/>
      <c r="Y44" s="8"/>
    </row>
    <row r="45" spans="5:25" ht="12.75" customHeight="1">
      <c r="E45" s="129">
        <f>IF(AND($S$27&lt;1000.05,$S$27&gt;560),"==&gt;","")</f>
      </c>
      <c r="F45" s="8"/>
      <c r="G45" s="8"/>
      <c r="H45" s="8"/>
      <c r="I45" s="8"/>
      <c r="J45" s="8"/>
      <c r="K45" s="60"/>
      <c r="L45" s="60"/>
      <c r="M45" s="60"/>
      <c r="N45" s="60"/>
      <c r="O45" s="60"/>
      <c r="U45" s="8"/>
      <c r="V45" s="8"/>
      <c r="W45" s="8"/>
      <c r="X45" s="8"/>
      <c r="Y45" s="8"/>
    </row>
    <row r="46" ht="12.75" customHeight="1"/>
    <row r="47" ht="12.75" customHeight="1"/>
    <row r="48" ht="12.75" customHeight="1"/>
    <row r="50" ht="12.75" customHeight="1"/>
    <row r="51" ht="12.75" customHeight="1"/>
  </sheetData>
  <sheetProtection password="EF77" sheet="1" objects="1" scenarios="1"/>
  <mergeCells count="45">
    <mergeCell ref="F24:G24"/>
    <mergeCell ref="F25:G25"/>
    <mergeCell ref="F26:G26"/>
    <mergeCell ref="F21:G21"/>
    <mergeCell ref="F22:G22"/>
    <mergeCell ref="F23:G23"/>
    <mergeCell ref="E37:E38"/>
    <mergeCell ref="F28:F29"/>
    <mergeCell ref="F37:F38"/>
    <mergeCell ref="E28:E29"/>
    <mergeCell ref="Q37:Q38"/>
    <mergeCell ref="Q28:Q29"/>
    <mergeCell ref="H20:I20"/>
    <mergeCell ref="S17:T17"/>
    <mergeCell ref="Q17:R17"/>
    <mergeCell ref="H21:I21"/>
    <mergeCell ref="U16:V16"/>
    <mergeCell ref="U7:V7"/>
    <mergeCell ref="S14:T14"/>
    <mergeCell ref="S15:T15"/>
    <mergeCell ref="S16:T16"/>
    <mergeCell ref="U12:V12"/>
    <mergeCell ref="U14:V14"/>
    <mergeCell ref="S12:T12"/>
    <mergeCell ref="S13:T13"/>
    <mergeCell ref="U6:V6"/>
    <mergeCell ref="M6:P6"/>
    <mergeCell ref="U17:V17"/>
    <mergeCell ref="U11:V11"/>
    <mergeCell ref="S11:T11"/>
    <mergeCell ref="Q11:R11"/>
    <mergeCell ref="U13:V13"/>
    <mergeCell ref="Q16:R16"/>
    <mergeCell ref="U15:V15"/>
    <mergeCell ref="Q15:R15"/>
    <mergeCell ref="E1:J1"/>
    <mergeCell ref="S7:T7"/>
    <mergeCell ref="Q7:R7"/>
    <mergeCell ref="Q14:R14"/>
    <mergeCell ref="E6:E7"/>
    <mergeCell ref="Q12:R12"/>
    <mergeCell ref="Q13:R13"/>
    <mergeCell ref="S6:T6"/>
    <mergeCell ref="M7:P7"/>
    <mergeCell ref="Q6:R6"/>
  </mergeCells>
  <printOptions horizontalCentered="1" verticalCentered="1"/>
  <pageMargins left="0.3937007874015748" right="0.3937007874015748" top="0.5905511811023623" bottom="0.5905511811023623" header="0.5118110236220472" footer="0.5118110236220472"/>
  <pageSetup blackAndWhite="1" horizontalDpi="300" verticalDpi="300" orientation="landscape" paperSize="9" scale="80" r:id="rId1"/>
  <headerFooter alignWithMargins="0">
    <oddFooter>&amp;L&amp;F / &amp;A</oddFooter>
  </headerFooter>
</worksheet>
</file>

<file path=xl/worksheets/sheet5.xml><?xml version="1.0" encoding="utf-8"?>
<worksheet xmlns="http://schemas.openxmlformats.org/spreadsheetml/2006/main" xmlns:r="http://schemas.openxmlformats.org/officeDocument/2006/relationships">
  <sheetPr codeName="Tabelle5"/>
  <dimension ref="A2:P29"/>
  <sheetViews>
    <sheetView showGridLines="0" showRowColHeaders="0" zoomScale="80" zoomScaleNormal="80" workbookViewId="0" topLeftCell="A1">
      <selection activeCell="M29" sqref="M29"/>
    </sheetView>
  </sheetViews>
  <sheetFormatPr defaultColWidth="11.421875" defaultRowHeight="15" customHeight="1"/>
  <cols>
    <col min="1" max="1" width="2.7109375" style="211" customWidth="1"/>
    <col min="2" max="2" width="25.7109375" style="211" customWidth="1"/>
    <col min="3" max="3" width="8.7109375" style="211" customWidth="1"/>
    <col min="4" max="4" width="20.7109375" style="211" customWidth="1"/>
    <col min="5" max="5" width="7.7109375" style="211" customWidth="1"/>
    <col min="6" max="6" width="2.7109375" style="234" customWidth="1"/>
    <col min="7" max="7" width="20.7109375" style="211" customWidth="1"/>
    <col min="8" max="8" width="6.7109375" style="211" customWidth="1"/>
    <col min="9" max="9" width="1.8515625" style="211" customWidth="1"/>
    <col min="10" max="10" width="9.7109375" style="211" customWidth="1"/>
    <col min="11" max="11" width="3.8515625" style="211" customWidth="1"/>
    <col min="12" max="12" width="20.7109375" style="211" customWidth="1"/>
    <col min="13" max="13" width="7.7109375" style="241" customWidth="1"/>
    <col min="14" max="14" width="2.7109375" style="234" customWidth="1"/>
    <col min="15" max="15" width="20.7109375" style="211" customWidth="1"/>
    <col min="16" max="16" width="12.7109375" style="211" customWidth="1"/>
    <col min="17" max="19" width="10.7109375" style="211" customWidth="1"/>
    <col min="20" max="16384" width="11.421875" style="211" customWidth="1"/>
  </cols>
  <sheetData>
    <row r="2" spans="2:15" ht="15" customHeight="1">
      <c r="B2" s="55" t="str">
        <f>IF(Info!H8&gt;2.5,"Project:",IF(Info!H8&gt;1.5,"Projekt :",IF(Info!H8&gt;0.5,"Proje :","")))</f>
        <v>Proje :</v>
      </c>
      <c r="C2" s="247" t="str">
        <f>1!C1:G1</f>
        <v>Plastik makinası redüktörü</v>
      </c>
      <c r="D2" s="245"/>
      <c r="E2" s="245"/>
      <c r="F2" s="246"/>
      <c r="I2" s="211" t="str">
        <f>Info!M7</f>
        <v>Copyright : M. G. Kutay , Ver 10.01</v>
      </c>
      <c r="O2" s="187" t="str">
        <f>Info!B7</f>
        <v>www.guven-kutay.ch</v>
      </c>
    </row>
    <row r="3" spans="1:16" ht="15" customHeight="1">
      <c r="A3" s="82"/>
      <c r="H3" s="212"/>
      <c r="I3" s="212"/>
      <c r="M3" s="242"/>
      <c r="N3" s="235"/>
      <c r="O3" s="82"/>
      <c r="P3" s="82"/>
    </row>
    <row r="4" spans="1:16" ht="15" customHeight="1">
      <c r="A4" s="82"/>
      <c r="B4" s="55" t="str">
        <f>IF(Info!$H$8&gt;2.5,"Field of use;",IF(Info!$H$8&gt;1.5,"Einsatzort;",IF(Info!$H$8&gt;0.5,"Kullanıldığı yer;","")))</f>
        <v>Kullanıldığı yer;</v>
      </c>
      <c r="C4" s="247" t="str">
        <f>1!C3:G3</f>
        <v>5K - Tahrik dişlisi 2, Pınyon</v>
      </c>
      <c r="D4" s="245"/>
      <c r="E4" s="245"/>
      <c r="F4" s="246"/>
      <c r="H4" s="212"/>
      <c r="I4" s="212"/>
      <c r="M4" s="242"/>
      <c r="N4" s="235"/>
      <c r="O4" s="82"/>
      <c r="P4" s="82"/>
    </row>
    <row r="5" spans="1:16" ht="7.5" customHeight="1">
      <c r="A5" s="82"/>
      <c r="C5" s="1"/>
      <c r="D5" s="1"/>
      <c r="E5" s="1"/>
      <c r="F5" s="235"/>
      <c r="H5" s="212"/>
      <c r="I5" s="212"/>
      <c r="M5" s="242"/>
      <c r="N5" s="235"/>
      <c r="O5" s="82"/>
      <c r="P5" s="82"/>
    </row>
    <row r="6" spans="1:16" ht="15" customHeight="1">
      <c r="A6" s="82"/>
      <c r="B6" s="1"/>
      <c r="C6" s="1"/>
      <c r="D6" s="1"/>
      <c r="E6" s="108"/>
      <c r="H6" s="82"/>
      <c r="I6" s="1"/>
      <c r="J6" s="1"/>
      <c r="L6" s="1"/>
      <c r="M6" s="242"/>
      <c r="N6" s="235"/>
      <c r="O6" s="56"/>
      <c r="P6" s="1"/>
    </row>
    <row r="7" spans="1:16" ht="15" customHeight="1">
      <c r="A7" s="82"/>
      <c r="B7" s="1"/>
      <c r="C7" s="1"/>
      <c r="D7" s="1"/>
      <c r="E7" s="95"/>
      <c r="F7" s="235"/>
      <c r="G7" s="1"/>
      <c r="H7" s="1"/>
      <c r="I7" s="1"/>
      <c r="J7" s="1"/>
      <c r="K7" s="1"/>
      <c r="L7" s="1"/>
      <c r="M7" s="242"/>
      <c r="N7" s="235"/>
      <c r="O7" s="56"/>
      <c r="P7" s="1"/>
    </row>
    <row r="8" spans="1:16" ht="15" customHeight="1">
      <c r="A8" s="82"/>
      <c r="B8" s="1"/>
      <c r="C8" s="1"/>
      <c r="D8" s="1"/>
      <c r="E8" s="95"/>
      <c r="F8" s="235"/>
      <c r="G8" s="1"/>
      <c r="H8" s="1"/>
      <c r="I8" s="1"/>
      <c r="J8" s="1"/>
      <c r="K8" s="1"/>
      <c r="L8" s="1"/>
      <c r="M8" s="242"/>
      <c r="N8" s="235"/>
      <c r="O8" s="56"/>
      <c r="P8" s="1"/>
    </row>
    <row r="9" spans="1:16" ht="15" customHeight="1">
      <c r="A9" s="82"/>
      <c r="B9" s="1"/>
      <c r="C9" s="1"/>
      <c r="D9" s="1"/>
      <c r="E9" s="95"/>
      <c r="F9" s="235"/>
      <c r="G9" s="1"/>
      <c r="H9" s="1"/>
      <c r="I9" s="1"/>
      <c r="J9" s="1"/>
      <c r="K9" s="1"/>
      <c r="L9" s="1"/>
      <c r="M9" s="242"/>
      <c r="N9" s="235"/>
      <c r="O9" s="56"/>
      <c r="P9" s="1"/>
    </row>
    <row r="10" spans="1:16" ht="15" customHeight="1">
      <c r="A10" s="82"/>
      <c r="B10" s="1"/>
      <c r="C10" s="1"/>
      <c r="D10" s="1"/>
      <c r="E10" s="95"/>
      <c r="F10" s="235"/>
      <c r="G10" s="1"/>
      <c r="H10" s="1"/>
      <c r="I10" s="1"/>
      <c r="J10" s="1"/>
      <c r="K10" s="1"/>
      <c r="L10" s="1"/>
      <c r="M10" s="242"/>
      <c r="N10" s="235"/>
      <c r="O10" s="56"/>
      <c r="P10" s="1"/>
    </row>
    <row r="11" spans="1:16" ht="19.5" customHeight="1">
      <c r="A11" s="82"/>
      <c r="B11" s="1"/>
      <c r="C11" s="1"/>
      <c r="D11" s="89" t="str">
        <f>1!D6</f>
        <v>Pinyon</v>
      </c>
      <c r="E11" s="116"/>
      <c r="F11" s="236"/>
      <c r="G11" s="116"/>
      <c r="K11" s="1"/>
      <c r="L11" s="191" t="str">
        <f>1!E6</f>
        <v>Çark</v>
      </c>
      <c r="M11" s="171"/>
      <c r="N11" s="236"/>
      <c r="O11" s="243"/>
      <c r="P11" s="1"/>
    </row>
    <row r="12" spans="1:16" ht="19.5" customHeight="1">
      <c r="A12" s="82"/>
      <c r="B12" s="1"/>
      <c r="C12" s="1"/>
      <c r="D12" s="230" t="str">
        <f>1!B7</f>
        <v>Diş sayısı</v>
      </c>
      <c r="E12" s="213" t="s">
        <v>127</v>
      </c>
      <c r="F12" s="237">
        <v>1</v>
      </c>
      <c r="G12" s="214">
        <f>1!D7</f>
        <v>18</v>
      </c>
      <c r="K12" s="1"/>
      <c r="L12" s="230" t="str">
        <f aca="true" t="shared" si="0" ref="L12:L21">D12</f>
        <v>Diş sayısı</v>
      </c>
      <c r="M12" s="213" t="s">
        <v>127</v>
      </c>
      <c r="N12" s="237">
        <v>2</v>
      </c>
      <c r="O12" s="214">
        <f>1!E7</f>
        <v>18</v>
      </c>
      <c r="P12" s="1"/>
    </row>
    <row r="13" spans="1:16" ht="19.5" customHeight="1">
      <c r="A13" s="82"/>
      <c r="B13" s="1"/>
      <c r="C13" s="1"/>
      <c r="D13" s="231" t="str">
        <f>1!B8</f>
        <v>Modül</v>
      </c>
      <c r="E13" s="216" t="s">
        <v>118</v>
      </c>
      <c r="F13" s="238" t="s">
        <v>43</v>
      </c>
      <c r="G13" s="217">
        <f>1!D8</f>
        <v>4.5</v>
      </c>
      <c r="K13" s="1"/>
      <c r="L13" s="231" t="str">
        <f t="shared" si="0"/>
        <v>Modül</v>
      </c>
      <c r="M13" s="216" t="s">
        <v>118</v>
      </c>
      <c r="N13" s="238" t="s">
        <v>43</v>
      </c>
      <c r="O13" s="217">
        <f>G13</f>
        <v>4.5</v>
      </c>
      <c r="P13" s="1"/>
    </row>
    <row r="14" spans="1:16" ht="19.5" customHeight="1">
      <c r="A14" s="82"/>
      <c r="B14" s="1"/>
      <c r="C14" s="1"/>
      <c r="D14" s="231" t="str">
        <f>1!B9</f>
        <v>Kavrama açısı</v>
      </c>
      <c r="E14" s="218"/>
      <c r="F14" s="238"/>
      <c r="G14" s="249">
        <f>1!D9</f>
        <v>22.5</v>
      </c>
      <c r="K14" s="1"/>
      <c r="L14" s="231" t="str">
        <f t="shared" si="0"/>
        <v>Kavrama açısı</v>
      </c>
      <c r="M14" s="218"/>
      <c r="N14" s="238"/>
      <c r="O14" s="249">
        <f>G14</f>
        <v>22.5</v>
      </c>
      <c r="P14" s="1"/>
    </row>
    <row r="15" spans="1:16" ht="19.5" customHeight="1">
      <c r="A15" s="82"/>
      <c r="B15" s="1"/>
      <c r="C15" s="1"/>
      <c r="D15" s="231" t="str">
        <f>1!B11</f>
        <v>Helis açısı</v>
      </c>
      <c r="E15" s="219" t="s">
        <v>128</v>
      </c>
      <c r="F15" s="238"/>
      <c r="G15" s="220">
        <f>1!D11</f>
        <v>10</v>
      </c>
      <c r="K15" s="1"/>
      <c r="L15" s="231" t="str">
        <f t="shared" si="0"/>
        <v>Helis açısı</v>
      </c>
      <c r="M15" s="219" t="s">
        <v>128</v>
      </c>
      <c r="N15" s="238"/>
      <c r="O15" s="220">
        <f>G15</f>
        <v>10</v>
      </c>
      <c r="P15" s="1"/>
    </row>
    <row r="16" spans="1:16" ht="19.5" customHeight="1">
      <c r="A16" s="82"/>
      <c r="B16" s="1"/>
      <c r="C16" s="1"/>
      <c r="D16" s="231" t="str">
        <f>1!B12</f>
        <v>Helis yönü</v>
      </c>
      <c r="E16" s="218"/>
      <c r="F16" s="238"/>
      <c r="G16" s="221" t="str">
        <f>1!D12</f>
        <v>sol</v>
      </c>
      <c r="K16" s="1"/>
      <c r="L16" s="231" t="str">
        <f t="shared" si="0"/>
        <v>Helis yönü</v>
      </c>
      <c r="M16" s="218"/>
      <c r="N16" s="238"/>
      <c r="O16" s="221" t="str">
        <f>1!E12</f>
        <v>sağ</v>
      </c>
      <c r="P16" s="1"/>
    </row>
    <row r="17" spans="1:16" ht="19.5" customHeight="1">
      <c r="A17" s="82"/>
      <c r="B17" s="1"/>
      <c r="C17" s="1"/>
      <c r="D17" s="231" t="str">
        <f>1!B30</f>
        <v>Taksimat dairesi</v>
      </c>
      <c r="E17" s="222" t="s">
        <v>119</v>
      </c>
      <c r="F17" s="238">
        <v>1</v>
      </c>
      <c r="G17" s="223">
        <f>1!D30</f>
        <v>82.24955556274534</v>
      </c>
      <c r="K17" s="1"/>
      <c r="L17" s="231" t="str">
        <f t="shared" si="0"/>
        <v>Taksimat dairesi</v>
      </c>
      <c r="M17" s="222" t="s">
        <v>119</v>
      </c>
      <c r="N17" s="238">
        <v>2</v>
      </c>
      <c r="O17" s="223">
        <f>1!E30</f>
        <v>82.24955556274534</v>
      </c>
      <c r="P17" s="1"/>
    </row>
    <row r="18" spans="1:16" ht="19.5" customHeight="1">
      <c r="A18" s="82"/>
      <c r="B18" s="1"/>
      <c r="C18" s="1"/>
      <c r="D18" s="231" t="str">
        <f>IF(Info!H8&gt;2.5,"Addendum Modification-Proposal",IF(Info!H8&gt;1.5,"Profilverschi.-Vorschlag",IF(Info!H8&gt;0.5,"Profil kaydırma faktörü","")))</f>
        <v>Profil kaydırma faktörü</v>
      </c>
      <c r="E18" s="216" t="s">
        <v>125</v>
      </c>
      <c r="F18" s="238">
        <v>1</v>
      </c>
      <c r="G18" s="248">
        <f>1!D29</f>
        <v>0.268</v>
      </c>
      <c r="K18" s="1"/>
      <c r="L18" s="231" t="str">
        <f t="shared" si="0"/>
        <v>Profil kaydırma faktörü</v>
      </c>
      <c r="M18" s="216" t="s">
        <v>125</v>
      </c>
      <c r="N18" s="238">
        <v>2</v>
      </c>
      <c r="O18" s="248">
        <f>1!E29</f>
        <v>0.2680491627773911</v>
      </c>
      <c r="P18" s="1"/>
    </row>
    <row r="19" spans="1:16" ht="19.5" customHeight="1">
      <c r="A19" s="82"/>
      <c r="B19" s="1"/>
      <c r="C19" s="1"/>
      <c r="D19" s="231" t="str">
        <f>1!B15</f>
        <v>Dişli kalitesi</v>
      </c>
      <c r="E19" s="218"/>
      <c r="F19" s="238"/>
      <c r="G19" s="225">
        <f>1!D15</f>
        <v>8</v>
      </c>
      <c r="K19" s="1"/>
      <c r="L19" s="231" t="str">
        <f t="shared" si="0"/>
        <v>Dişli kalitesi</v>
      </c>
      <c r="M19" s="218"/>
      <c r="N19" s="238"/>
      <c r="O19" s="225">
        <f>1!D15</f>
        <v>8</v>
      </c>
      <c r="P19" s="1"/>
    </row>
    <row r="20" spans="1:16" ht="19.5" customHeight="1">
      <c r="A20" s="82"/>
      <c r="B20" s="1"/>
      <c r="C20" s="1"/>
      <c r="D20" s="231" t="str">
        <f>1!B32</f>
        <v>Ölçülecek diş sayısı</v>
      </c>
      <c r="E20" s="216" t="s">
        <v>126</v>
      </c>
      <c r="F20" s="239">
        <v>1</v>
      </c>
      <c r="G20" s="226">
        <f>1!D32</f>
        <v>3</v>
      </c>
      <c r="K20" s="1"/>
      <c r="L20" s="231" t="str">
        <f t="shared" si="0"/>
        <v>Ölçülecek diş sayısı</v>
      </c>
      <c r="M20" s="216" t="s">
        <v>126</v>
      </c>
      <c r="N20" s="239">
        <v>2</v>
      </c>
      <c r="O20" s="226">
        <f>1!E32</f>
        <v>3</v>
      </c>
      <c r="P20" s="1"/>
    </row>
    <row r="21" spans="1:16" ht="19.5" customHeight="1">
      <c r="A21" s="82"/>
      <c r="B21" s="1"/>
      <c r="C21" s="1"/>
      <c r="D21" s="231" t="str">
        <f>1!B33</f>
        <v>Kontrol ölçü değeri</v>
      </c>
      <c r="E21" s="222" t="s">
        <v>129</v>
      </c>
      <c r="F21" s="239">
        <f>G20</f>
        <v>3</v>
      </c>
      <c r="G21" s="223">
        <f>1!D33</f>
        <v>35.25660274970035</v>
      </c>
      <c r="K21" s="1"/>
      <c r="L21" s="231" t="str">
        <f t="shared" si="0"/>
        <v>Kontrol ölçü değeri</v>
      </c>
      <c r="M21" s="222" t="s">
        <v>129</v>
      </c>
      <c r="N21" s="239">
        <f>O20</f>
        <v>3</v>
      </c>
      <c r="O21" s="223">
        <f>1!E33</f>
        <v>35.25677207372392</v>
      </c>
      <c r="P21" s="1"/>
    </row>
    <row r="22" spans="1:16" ht="19.5" customHeight="1">
      <c r="A22" s="82"/>
      <c r="B22" s="1"/>
      <c r="C22" s="1"/>
      <c r="D22" s="215"/>
      <c r="E22" s="218" t="s">
        <v>120</v>
      </c>
      <c r="F22" s="239">
        <f>G20</f>
        <v>3</v>
      </c>
      <c r="G22" s="223">
        <f>1!D36</f>
        <v>35.19193118242456</v>
      </c>
      <c r="K22" s="1"/>
      <c r="L22" s="231"/>
      <c r="M22" s="218" t="s">
        <v>120</v>
      </c>
      <c r="N22" s="239">
        <f>O20</f>
        <v>3</v>
      </c>
      <c r="O22" s="223">
        <f>1!E36</f>
        <v>35.192100506448135</v>
      </c>
      <c r="P22" s="1"/>
    </row>
    <row r="23" spans="1:16" ht="19.5" customHeight="1">
      <c r="A23" s="82"/>
      <c r="B23" s="1"/>
      <c r="C23" s="1"/>
      <c r="D23" s="215"/>
      <c r="E23" s="218" t="s">
        <v>121</v>
      </c>
      <c r="F23" s="239">
        <f>G20</f>
        <v>3</v>
      </c>
      <c r="G23" s="223">
        <f>1!D37</f>
        <v>35.154976001124105</v>
      </c>
      <c r="K23" s="1"/>
      <c r="L23" s="231"/>
      <c r="M23" s="218" t="s">
        <v>121</v>
      </c>
      <c r="N23" s="239">
        <f>O20</f>
        <v>3</v>
      </c>
      <c r="O23" s="223">
        <f>1!E37</f>
        <v>35.15514532514768</v>
      </c>
      <c r="P23" s="1"/>
    </row>
    <row r="24" spans="1:16" ht="19.5" customHeight="1">
      <c r="A24" s="82"/>
      <c r="B24" s="1"/>
      <c r="C24" s="1"/>
      <c r="D24" s="232" t="str">
        <f>1!B13</f>
        <v>Eksenler arası mesafe</v>
      </c>
      <c r="E24" s="218" t="s">
        <v>10</v>
      </c>
      <c r="F24" s="238"/>
      <c r="G24" s="224">
        <f>1!D13</f>
        <v>84.5</v>
      </c>
      <c r="K24" s="1"/>
      <c r="L24" s="231" t="str">
        <f>D24</f>
        <v>Eksenler arası mesafe</v>
      </c>
      <c r="M24" s="218" t="s">
        <v>10</v>
      </c>
      <c r="N24" s="238"/>
      <c r="O24" s="224">
        <f>G24</f>
        <v>84.5</v>
      </c>
      <c r="P24" s="1"/>
    </row>
    <row r="25" spans="1:16" ht="19.5" customHeight="1">
      <c r="A25" s="82"/>
      <c r="B25" s="1"/>
      <c r="C25" s="1"/>
      <c r="D25" s="231" t="str">
        <f>IF(Info!H8&gt;2.5,"Number of teeth",IF(Info!H8&gt;1.5,"Gegenzähnezahl",IF(Info!H8&gt;0.5,"Karşıt diş sayısı","")))</f>
        <v>Karşıt diş sayısı</v>
      </c>
      <c r="E25" s="218" t="s">
        <v>122</v>
      </c>
      <c r="F25" s="238">
        <v>2</v>
      </c>
      <c r="G25" s="227">
        <f>O12</f>
        <v>18</v>
      </c>
      <c r="K25" s="1"/>
      <c r="L25" s="231" t="str">
        <f>D25</f>
        <v>Karşıt diş sayısı</v>
      </c>
      <c r="M25" s="218" t="s">
        <v>122</v>
      </c>
      <c r="N25" s="238">
        <v>1</v>
      </c>
      <c r="O25" s="227">
        <f>G12</f>
        <v>18</v>
      </c>
      <c r="P25" s="1"/>
    </row>
    <row r="26" spans="1:16" ht="19.5" customHeight="1">
      <c r="A26" s="82"/>
      <c r="B26" s="1"/>
      <c r="C26" s="1"/>
      <c r="D26" s="233" t="str">
        <f>IF(Info!H8&gt;2.5,"Number of teeth",IF(Info!H8&gt;1.5,"Zähnezahl",IF(Info!H8&gt;0.5,"Karşıt dişli resim No:","")))</f>
        <v>Karşıt dişli resim No:</v>
      </c>
      <c r="E26" s="228"/>
      <c r="F26" s="240"/>
      <c r="G26" s="229"/>
      <c r="K26" s="1"/>
      <c r="L26" s="233" t="str">
        <f>D26</f>
        <v>Karşıt dişli resim No:</v>
      </c>
      <c r="M26" s="228"/>
      <c r="N26" s="240"/>
      <c r="O26" s="229"/>
      <c r="P26" s="1"/>
    </row>
    <row r="27" spans="1:16" ht="19.5" customHeight="1">
      <c r="A27" s="82"/>
      <c r="B27" s="1"/>
      <c r="C27" s="1"/>
      <c r="D27" s="1"/>
      <c r="N27" s="235"/>
      <c r="O27" s="56"/>
      <c r="P27" s="1"/>
    </row>
    <row r="28" spans="1:16" ht="15" customHeight="1">
      <c r="A28" s="82"/>
      <c r="B28" s="1"/>
      <c r="C28" s="1"/>
      <c r="D28" s="1"/>
      <c r="E28" s="1"/>
      <c r="F28" s="235"/>
      <c r="G28" s="1"/>
      <c r="H28" s="1"/>
      <c r="I28" s="1"/>
      <c r="J28" s="1"/>
      <c r="K28" s="1"/>
      <c r="L28" s="1"/>
      <c r="M28" s="242"/>
      <c r="N28" s="235"/>
      <c r="O28" s="56"/>
      <c r="P28" s="1"/>
    </row>
    <row r="29" spans="1:16" ht="15" customHeight="1">
      <c r="A29" s="82"/>
      <c r="B29" s="1"/>
      <c r="C29" s="1"/>
      <c r="D29" s="1"/>
      <c r="E29" s="1"/>
      <c r="F29" s="235"/>
      <c r="G29" s="1"/>
      <c r="H29" s="1"/>
      <c r="I29" s="1"/>
      <c r="J29" s="1"/>
      <c r="K29" s="1"/>
      <c r="L29" s="1"/>
      <c r="M29" s="242"/>
      <c r="N29" s="235"/>
      <c r="O29" s="56"/>
      <c r="P29" s="1"/>
    </row>
    <row r="30" ht="6.75" customHeight="1"/>
  </sheetData>
  <sheetProtection password="EF77" sheet="1" objects="1" scenarios="1"/>
  <printOptions horizontalCentered="1" verticalCentered="1"/>
  <pageMargins left="0.3937007874015748" right="0.3937007874015748" top="0.7874015748031497" bottom="0.7874015748031497" header="0.5118110236220472" footer="0.5118110236220472"/>
  <pageSetup blackAndWhite="1" horizontalDpi="300" verticalDpi="300" orientation="landscape" paperSize="9" scale="80" r:id="rId1"/>
  <headerFooter alignWithMargins="0">
    <oddFooter>&amp;L&amp;F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Kutay M.G.</dc:creator>
  <cp:keywords/>
  <dc:description/>
  <cp:lastModifiedBy>Guven</cp:lastModifiedBy>
  <cp:lastPrinted>2011-10-24T14:56:23Z</cp:lastPrinted>
  <dcterms:created xsi:type="dcterms:W3CDTF">1998-11-18T13:22:42Z</dcterms:created>
  <dcterms:modified xsi:type="dcterms:W3CDTF">2014-04-04T07:58:42Z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