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Override PartName="/xl/embeddings/oleObject_4_13.bin" ContentType="application/vnd.openxmlformats-officedocument.oleObject"/>
  <Override PartName="/xl/embeddings/oleObject_4_14.bin" ContentType="application/vnd.openxmlformats-officedocument.oleObject"/>
  <Override PartName="/xl/embeddings/oleObject_4_15.bin" ContentType="application/vnd.openxmlformats-officedocument.oleObject"/>
  <Override PartName="/xl/embeddings/oleObject_4_16.bin" ContentType="application/vnd.openxmlformats-officedocument.oleObject"/>
  <Override PartName="/xl/embeddings/oleObject_4_17.bin" ContentType="application/vnd.openxmlformats-officedocument.oleObject"/>
  <Override PartName="/xl/embeddings/oleObject_4_18.bin" ContentType="application/vnd.openxmlformats-officedocument.oleObject"/>
  <Override PartName="/xl/embeddings/oleObject_4_19.bin" ContentType="application/vnd.openxmlformats-officedocument.oleObject"/>
  <Override PartName="/xl/embeddings/oleObject_4_20.bin" ContentType="application/vnd.openxmlformats-officedocument.oleObject"/>
  <Override PartName="/xl/embeddings/oleObject_4_21.bin" ContentType="application/vnd.openxmlformats-officedocument.oleObject"/>
  <Override PartName="/xl/embeddings/oleObject_4_22.bin" ContentType="application/vnd.openxmlformats-officedocument.oleObject"/>
  <Override PartName="/xl/embeddings/oleObject_4_23.bin" ContentType="application/vnd.openxmlformats-officedocument.oleObject"/>
  <Override PartName="/xl/embeddings/oleObject_4_24.bin" ContentType="application/vnd.openxmlformats-officedocument.oleObject"/>
  <Override PartName="/xl/embeddings/oleObject_4_25.bin" ContentType="application/vnd.openxmlformats-officedocument.oleObject"/>
  <Override PartName="/xl/embeddings/oleObject_4_26.bin" ContentType="application/vnd.openxmlformats-officedocument.oleObject"/>
  <Override PartName="/xl/embeddings/oleObject_4_27.bin" ContentType="application/vnd.openxmlformats-officedocument.oleObject"/>
  <Override PartName="/xl/embeddings/oleObject_4_28.bin" ContentType="application/vnd.openxmlformats-officedocument.oleObject"/>
  <Override PartName="/xl/embeddings/oleObject_4_29.bin" ContentType="application/vnd.openxmlformats-officedocument.oleObject"/>
  <Override PartName="/xl/embeddings/oleObject_4_30.bin" ContentType="application/vnd.openxmlformats-officedocument.oleObject"/>
  <Override PartName="/xl/embeddings/oleObject_4_31.bin" ContentType="application/vnd.openxmlformats-officedocument.oleObject"/>
  <Override PartName="/xl/embeddings/oleObject_4_32.bin" ContentType="application/vnd.openxmlformats-officedocument.oleObject"/>
  <Override PartName="/xl/embeddings/oleObject_4_33.bin" ContentType="application/vnd.openxmlformats-officedocument.oleObject"/>
  <Override PartName="/xl/embeddings/oleObject_4_34.bin" ContentType="application/vnd.openxmlformats-officedocument.oleObject"/>
  <Override PartName="/xl/embeddings/oleObject_4_35.bin" ContentType="application/vnd.openxmlformats-officedocument.oleObject"/>
  <Override PartName="/xl/embeddings/oleObject_4_36.bin" ContentType="application/vnd.openxmlformats-officedocument.oleObject"/>
  <Override PartName="/xl/embeddings/oleObject_4_37.bin" ContentType="application/vnd.openxmlformats-officedocument.oleObject"/>
  <Override PartName="/xl/embeddings/oleObject_4_38.bin" ContentType="application/vnd.openxmlformats-officedocument.oleObject"/>
  <Override PartName="/xl/embeddings/oleObject_4_39.bin" ContentType="application/vnd.openxmlformats-officedocument.oleObject"/>
  <Override PartName="/xl/embeddings/oleObject_4_40.bin" ContentType="application/vnd.openxmlformats-officedocument.oleObject"/>
  <Override PartName="/xl/embeddings/oleObject_4_41.bin" ContentType="application/vnd.openxmlformats-officedocument.oleObject"/>
  <Override PartName="/xl/embeddings/oleObject_4_42.bin" ContentType="application/vnd.openxmlformats-officedocument.oleObject"/>
  <Override PartName="/xl/embeddings/oleObject_4_43.bin" ContentType="application/vnd.openxmlformats-officedocument.oleObject"/>
  <Override PartName="/xl/embeddings/oleObject_4_44.bin" ContentType="application/vnd.openxmlformats-officedocument.oleObject"/>
  <Override PartName="/xl/embeddings/oleObject_4_45.bin" ContentType="application/vnd.openxmlformats-officedocument.oleObject"/>
  <Override PartName="/xl/embeddings/oleObject_4_46.bin" ContentType="application/vnd.openxmlformats-officedocument.oleObject"/>
  <Override PartName="/xl/embeddings/oleObject_4_47.bin" ContentType="application/vnd.openxmlformats-officedocument.oleObject"/>
  <Override PartName="/xl/embeddings/oleObject_4_48.bin" ContentType="application/vnd.openxmlformats-officedocument.oleObject"/>
  <Override PartName="/xl/embeddings/oleObject_4_49.bin" ContentType="application/vnd.openxmlformats-officedocument.oleObject"/>
  <Override PartName="/xl/embeddings/oleObject_4_50.bin" ContentType="application/vnd.openxmlformats-officedocument.oleObject"/>
  <Override PartName="/xl/embeddings/oleObject_4_51.bin" ContentType="application/vnd.openxmlformats-officedocument.oleObject"/>
  <Override PartName="/xl/embeddings/oleObject_4_52.bin" ContentType="application/vnd.openxmlformats-officedocument.oleObject"/>
  <Override PartName="/xl/embeddings/oleObject_4_53.bin" ContentType="application/vnd.openxmlformats-officedocument.oleObject"/>
  <Override PartName="/xl/embeddings/oleObject_4_54.bin" ContentType="application/vnd.openxmlformats-officedocument.oleObject"/>
  <Override PartName="/xl/embeddings/oleObject_4_55.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6_7.bin" ContentType="application/vnd.openxmlformats-officedocument.oleObject"/>
  <Override PartName="/xl/embeddings/oleObject_6_8.bin" ContentType="application/vnd.openxmlformats-officedocument.oleObject"/>
  <Override PartName="/xl/embeddings/oleObject_6_9.bin" ContentType="application/vnd.openxmlformats-officedocument.oleObject"/>
  <Override PartName="/xl/embeddings/oleObject_6_10.bin" ContentType="application/vnd.openxmlformats-officedocument.oleObject"/>
  <Override PartName="/xl/embeddings/oleObject_6_11.bin" ContentType="application/vnd.openxmlformats-officedocument.oleObject"/>
  <Override PartName="/xl/embeddings/oleObject_6_12.bin" ContentType="application/vnd.openxmlformats-officedocument.oleObject"/>
  <Override PartName="/xl/embeddings/oleObject_6_13.bin" ContentType="application/vnd.openxmlformats-officedocument.oleObject"/>
  <Override PartName="/xl/embeddings/oleObject_6_14.bin" ContentType="application/vnd.openxmlformats-officedocument.oleObject"/>
  <Override PartName="/xl/embeddings/oleObject_6_15.bin" ContentType="application/vnd.openxmlformats-officedocument.oleObject"/>
  <Override PartName="/xl/embeddings/oleObject_6_16.bin" ContentType="application/vnd.openxmlformats-officedocument.oleObject"/>
  <Override PartName="/xl/embeddings/oleObject_6_17.bin" ContentType="application/vnd.openxmlformats-officedocument.oleObject"/>
  <Override PartName="/xl/embeddings/oleObject_6_18.bin" ContentType="application/vnd.openxmlformats-officedocument.oleObject"/>
  <Override PartName="/xl/embeddings/oleObject_6_19.bin" ContentType="application/vnd.openxmlformats-officedocument.oleObject"/>
  <Override PartName="/xl/embeddings/oleObject_6_20.bin" ContentType="application/vnd.openxmlformats-officedocument.oleObject"/>
  <Override PartName="/xl/embeddings/oleObject_6_21.bin" ContentType="application/vnd.openxmlformats-officedocument.oleObject"/>
  <Override PartName="/xl/embeddings/oleObject_6_22.bin" ContentType="application/vnd.openxmlformats-officedocument.oleObject"/>
  <Override PartName="/xl/embeddings/oleObject_6_23.bin" ContentType="application/vnd.openxmlformats-officedocument.oleObject"/>
  <Override PartName="/xl/embeddings/oleObject_6_24.bin" ContentType="application/vnd.openxmlformats-officedocument.oleObject"/>
  <Override PartName="/xl/embeddings/oleObject_6_25.bin" ContentType="application/vnd.openxmlformats-officedocument.oleObject"/>
  <Override PartName="/xl/embeddings/oleObject_6_26.bin" ContentType="application/vnd.openxmlformats-officedocument.oleObject"/>
  <Override PartName="/xl/embeddings/oleObject_6_27.bin" ContentType="application/vnd.openxmlformats-officedocument.oleObject"/>
  <Override PartName="/xl/embeddings/oleObject_6_28.bin" ContentType="application/vnd.openxmlformats-officedocument.oleObject"/>
  <Override PartName="/xl/embeddings/oleObject_6_29.bin" ContentType="application/vnd.openxmlformats-officedocument.oleObject"/>
  <Override PartName="/xl/embeddings/oleObject_6_30.bin" ContentType="application/vnd.openxmlformats-officedocument.oleObject"/>
  <Override PartName="/xl/embeddings/oleObject_6_31.bin" ContentType="application/vnd.openxmlformats-officedocument.oleObject"/>
  <Override PartName="/xl/embeddings/oleObject_6_32.bin" ContentType="application/vnd.openxmlformats-officedocument.oleObject"/>
  <Override PartName="/xl/embeddings/oleObject_6_33.bin" ContentType="application/vnd.openxmlformats-officedocument.oleObject"/>
  <Override PartName="/xl/embeddings/oleObject_6_34.bin" ContentType="application/vnd.openxmlformats-officedocument.oleObject"/>
  <Override PartName="/xl/embeddings/oleObject_6_35.bin" ContentType="application/vnd.openxmlformats-officedocument.oleObject"/>
  <Override PartName="/xl/embeddings/oleObject_6_36.bin" ContentType="application/vnd.openxmlformats-officedocument.oleObject"/>
  <Override PartName="/xl/embeddings/oleObject_6_37.bin" ContentType="application/vnd.openxmlformats-officedocument.oleObject"/>
  <Override PartName="/xl/embeddings/oleObject_6_38.bin" ContentType="application/vnd.openxmlformats-officedocument.oleObject"/>
  <Override PartName="/xl/embeddings/oleObject_6_39.bin" ContentType="application/vnd.openxmlformats-officedocument.oleObject"/>
  <Override PartName="/xl/embeddings/oleObject_6_40.bin" ContentType="application/vnd.openxmlformats-officedocument.oleObject"/>
  <Override PartName="/xl/embeddings/oleObject_6_41.bin" ContentType="application/vnd.openxmlformats-officedocument.oleObject"/>
  <Override PartName="/xl/embeddings/oleObject_6_42.bin" ContentType="application/vnd.openxmlformats-officedocument.oleObject"/>
  <Override PartName="/xl/embeddings/oleObject_6_43.bin" ContentType="application/vnd.openxmlformats-officedocument.oleObject"/>
  <Override PartName="/xl/embeddings/oleObject_6_44.bin" ContentType="application/vnd.openxmlformats-officedocument.oleObject"/>
  <Override PartName="/xl/embeddings/oleObject_6_45.bin" ContentType="application/vnd.openxmlformats-officedocument.oleObject"/>
  <Override PartName="/xl/embeddings/oleObject_6_46.bin" ContentType="application/vnd.openxmlformats-officedocument.oleObject"/>
  <Override PartName="/xl/embeddings/oleObject_6_47.bin" ContentType="application/vnd.openxmlformats-officedocument.oleObject"/>
  <Override PartName="/xl/embeddings/oleObject_6_48.bin" ContentType="application/vnd.openxmlformats-officedocument.oleObject"/>
  <Override PartName="/xl/embeddings/oleObject_6_49.bin" ContentType="application/vnd.openxmlformats-officedocument.oleObject"/>
  <Override PartName="/xl/embeddings/oleObject_6_50.bin" ContentType="application/vnd.openxmlformats-officedocument.oleObject"/>
  <Override PartName="/xl/embeddings/oleObject_6_51.bin" ContentType="application/vnd.openxmlformats-officedocument.oleObject"/>
  <Override PartName="/xl/embeddings/oleObject_6_52.bin" ContentType="application/vnd.openxmlformats-officedocument.oleObject"/>
  <Override PartName="/xl/embeddings/oleObject_6_53.bin" ContentType="application/vnd.openxmlformats-officedocument.oleObject"/>
  <Override PartName="/xl/embeddings/oleObject_6_54.bin" ContentType="application/vnd.openxmlformats-officedocument.oleObject"/>
  <Override PartName="/xl/embeddings/oleObject_6_55.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8_3.bin" ContentType="application/vnd.openxmlformats-officedocument.oleObject"/>
  <Override PartName="/xl/embeddings/oleObject_8_4.bin" ContentType="application/vnd.openxmlformats-officedocument.oleObject"/>
  <Override PartName="/xl/embeddings/oleObject_8_5.bin" ContentType="application/vnd.openxmlformats-officedocument.oleObject"/>
  <Override PartName="/xl/embeddings/oleObject_8_6.bin" ContentType="application/vnd.openxmlformats-officedocument.oleObject"/>
  <Override PartName="/xl/embeddings/oleObject_8_7.bin" ContentType="application/vnd.openxmlformats-officedocument.oleObject"/>
  <Override PartName="/xl/embeddings/oleObject_8_8.bin" ContentType="application/vnd.openxmlformats-officedocument.oleObject"/>
  <Override PartName="/xl/embeddings/oleObject_8_9.bin" ContentType="application/vnd.openxmlformats-officedocument.oleObject"/>
  <Override PartName="/xl/embeddings/oleObject_8_10.bin" ContentType="application/vnd.openxmlformats-officedocument.oleObject"/>
  <Override PartName="/xl/embeddings/oleObject_8_11.bin" ContentType="application/vnd.openxmlformats-officedocument.oleObject"/>
  <Override PartName="/xl/embeddings/oleObject_8_12.bin" ContentType="application/vnd.openxmlformats-officedocument.oleObject"/>
  <Override PartName="/xl/embeddings/oleObject_8_13.bin" ContentType="application/vnd.openxmlformats-officedocument.oleObject"/>
  <Override PartName="/xl/embeddings/oleObject_8_14.bin" ContentType="application/vnd.openxmlformats-officedocument.oleObject"/>
  <Override PartName="/xl/embeddings/oleObject_8_15.bin" ContentType="application/vnd.openxmlformats-officedocument.oleObject"/>
  <Override PartName="/xl/embeddings/oleObject_8_16.bin" ContentType="application/vnd.openxmlformats-officedocument.oleObject"/>
  <Override PartName="/xl/embeddings/oleObject_8_17.bin" ContentType="application/vnd.openxmlformats-officedocument.oleObject"/>
  <Override PartName="/xl/embeddings/oleObject_8_18.bin" ContentType="application/vnd.openxmlformats-officedocument.oleObject"/>
  <Override PartName="/xl/embeddings/oleObject_8_19.bin" ContentType="application/vnd.openxmlformats-officedocument.oleObject"/>
  <Override PartName="/xl/embeddings/oleObject_8_20.bin" ContentType="application/vnd.openxmlformats-officedocument.oleObject"/>
  <Override PartName="/xl/embeddings/oleObject_8_21.bin" ContentType="application/vnd.openxmlformats-officedocument.oleObject"/>
  <Override PartName="/xl/embeddings/oleObject_8_22.bin" ContentType="application/vnd.openxmlformats-officedocument.oleObject"/>
  <Override PartName="/xl/embeddings/oleObject_8_23.bin" ContentType="application/vnd.openxmlformats-officedocument.oleObject"/>
  <Override PartName="/xl/embeddings/oleObject_8_24.bin" ContentType="application/vnd.openxmlformats-officedocument.oleObject"/>
  <Override PartName="/xl/embeddings/oleObject_8_25.bin" ContentType="application/vnd.openxmlformats-officedocument.oleObject"/>
  <Override PartName="/xl/embeddings/oleObject_8_26.bin" ContentType="application/vnd.openxmlformats-officedocument.oleObject"/>
  <Override PartName="/xl/embeddings/oleObject_8_27.bin" ContentType="application/vnd.openxmlformats-officedocument.oleObject"/>
  <Override PartName="/xl/embeddings/oleObject_8_28.bin" ContentType="application/vnd.openxmlformats-officedocument.oleObject"/>
  <Override PartName="/xl/embeddings/oleObject_8_29.bin" ContentType="application/vnd.openxmlformats-officedocument.oleObject"/>
  <Override PartName="/xl/embeddings/oleObject_8_30.bin" ContentType="application/vnd.openxmlformats-officedocument.oleObject"/>
  <Override PartName="/xl/embeddings/oleObject_8_31.bin" ContentType="application/vnd.openxmlformats-officedocument.oleObject"/>
  <Override PartName="/xl/embeddings/oleObject_8_32.bin" ContentType="application/vnd.openxmlformats-officedocument.oleObject"/>
  <Override PartName="/xl/embeddings/oleObject_8_33.bin" ContentType="application/vnd.openxmlformats-officedocument.oleObject"/>
  <Override PartName="/xl/embeddings/oleObject_8_34.bin" ContentType="application/vnd.openxmlformats-officedocument.oleObject"/>
  <Override PartName="/xl/embeddings/oleObject_8_35.bin" ContentType="application/vnd.openxmlformats-officedocument.oleObject"/>
  <Override PartName="/xl/embeddings/oleObject_8_36.bin" ContentType="application/vnd.openxmlformats-officedocument.oleObject"/>
  <Override PartName="/xl/embeddings/oleObject_8_37.bin" ContentType="application/vnd.openxmlformats-officedocument.oleObject"/>
  <Override PartName="/xl/embeddings/oleObject_8_38.bin" ContentType="application/vnd.openxmlformats-officedocument.oleObject"/>
  <Override PartName="/xl/embeddings/oleObject_8_39.bin" ContentType="application/vnd.openxmlformats-officedocument.oleObject"/>
  <Override PartName="/xl/embeddings/oleObject_8_40.bin" ContentType="application/vnd.openxmlformats-officedocument.oleObject"/>
  <Override PartName="/xl/embeddings/oleObject_8_41.bin" ContentType="application/vnd.openxmlformats-officedocument.oleObject"/>
  <Override PartName="/xl/embeddings/oleObject_8_42.bin" ContentType="application/vnd.openxmlformats-officedocument.oleObject"/>
  <Override PartName="/xl/embeddings/oleObject_8_43.bin" ContentType="application/vnd.openxmlformats-officedocument.oleObject"/>
  <Override PartName="/xl/embeddings/oleObject_8_44.bin" ContentType="application/vnd.openxmlformats-officedocument.oleObject"/>
  <Override PartName="/xl/embeddings/oleObject_8_45.bin" ContentType="application/vnd.openxmlformats-officedocument.oleObject"/>
  <Override PartName="/xl/embeddings/oleObject_8_46.bin" ContentType="application/vnd.openxmlformats-officedocument.oleObject"/>
  <Override PartName="/xl/embeddings/oleObject_8_47.bin" ContentType="application/vnd.openxmlformats-officedocument.oleObject"/>
  <Override PartName="/xl/embeddings/oleObject_8_48.bin" ContentType="application/vnd.openxmlformats-officedocument.oleObject"/>
  <Override PartName="/xl/embeddings/oleObject_8_49.bin" ContentType="application/vnd.openxmlformats-officedocument.oleObject"/>
  <Override PartName="/xl/embeddings/oleObject_8_50.bin" ContentType="application/vnd.openxmlformats-officedocument.oleObject"/>
  <Override PartName="/xl/embeddings/oleObject_8_51.bin" ContentType="application/vnd.openxmlformats-officedocument.oleObject"/>
  <Override PartName="/xl/embeddings/oleObject_8_52.bin" ContentType="application/vnd.openxmlformats-officedocument.oleObject"/>
  <Override PartName="/xl/embeddings/oleObject_8_53.bin" ContentType="application/vnd.openxmlformats-officedocument.oleObject"/>
  <Override PartName="/xl/embeddings/oleObject_8_54.bin" ContentType="application/vnd.openxmlformats-officedocument.oleObject"/>
  <Override PartName="/xl/embeddings/oleObject_8_55.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91" yWindow="0" windowWidth="9630" windowHeight="12510" activeTab="0"/>
  </bookViews>
  <sheets>
    <sheet name="Info"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s>
  <definedNames/>
  <calcPr fullCalcOnLoad="1" iterate="1" iterateCount="100" iterateDelta="0.001"/>
</workbook>
</file>

<file path=xl/sharedStrings.xml><?xml version="1.0" encoding="utf-8"?>
<sst xmlns="http://schemas.openxmlformats.org/spreadsheetml/2006/main" count="1927" uniqueCount="607">
  <si>
    <t>u</t>
  </si>
  <si>
    <t>30 - 50</t>
  </si>
  <si>
    <t>18 - 30</t>
  </si>
  <si>
    <t>DIN</t>
  </si>
  <si>
    <t xml:space="preserve">m      </t>
  </si>
  <si>
    <t xml:space="preserve">ß       </t>
  </si>
  <si>
    <t xml:space="preserve"> </t>
  </si>
  <si>
    <t xml:space="preserve">a        </t>
  </si>
  <si>
    <t>b</t>
  </si>
  <si>
    <t>js 7</t>
  </si>
  <si>
    <t>c</t>
  </si>
  <si>
    <t>js 6</t>
  </si>
  <si>
    <t>f</t>
  </si>
  <si>
    <t>24/25</t>
  </si>
  <si>
    <t>a</t>
  </si>
  <si>
    <t>e</t>
  </si>
  <si>
    <t>27/28</t>
  </si>
  <si>
    <t>js 8</t>
  </si>
  <si>
    <t>in mm</t>
  </si>
  <si>
    <t>js5</t>
  </si>
  <si>
    <t>js6</t>
  </si>
  <si>
    <t>js7</t>
  </si>
  <si>
    <t>js8</t>
  </si>
  <si>
    <t>js9</t>
  </si>
  <si>
    <t>d</t>
  </si>
  <si>
    <t>10 - 18</t>
  </si>
  <si>
    <t>c, cd</t>
  </si>
  <si>
    <t>50 - 80</t>
  </si>
  <si>
    <t>80 - 120</t>
  </si>
  <si>
    <t>120 - 180</t>
  </si>
  <si>
    <t>180 - 250</t>
  </si>
  <si>
    <t>250 - 315</t>
  </si>
  <si>
    <t>315 - 400</t>
  </si>
  <si>
    <t>400 - 500</t>
  </si>
  <si>
    <t>ab</t>
  </si>
  <si>
    <t>bc</t>
  </si>
  <si>
    <t>cd</t>
  </si>
  <si>
    <t>bis 10</t>
  </si>
  <si>
    <t>10 - 50</t>
  </si>
  <si>
    <t>50 - 125</t>
  </si>
  <si>
    <t>125 - 280</t>
  </si>
  <si>
    <t>280 - 560</t>
  </si>
  <si>
    <t>560 - 1000</t>
  </si>
  <si>
    <t>N</t>
  </si>
  <si>
    <t>z1,2</t>
  </si>
  <si>
    <t>DIN 867</t>
  </si>
  <si>
    <t>k</t>
  </si>
  <si>
    <t>42CrMo4</t>
  </si>
  <si>
    <r>
      <t>Y</t>
    </r>
    <r>
      <rPr>
        <vertAlign val="subscript"/>
        <sz val="10"/>
        <rFont val="Arial"/>
        <family val="2"/>
      </rPr>
      <t>ST</t>
    </r>
  </si>
  <si>
    <r>
      <t>Y</t>
    </r>
    <r>
      <rPr>
        <vertAlign val="subscript"/>
        <sz val="10"/>
        <rFont val="Arial"/>
        <family val="2"/>
      </rPr>
      <t>NT</t>
    </r>
  </si>
  <si>
    <r>
      <t>Y</t>
    </r>
    <r>
      <rPr>
        <vertAlign val="subscript"/>
        <sz val="10"/>
        <rFont val="Arial"/>
        <family val="2"/>
      </rPr>
      <t>RrelT</t>
    </r>
  </si>
  <si>
    <r>
      <t>Y</t>
    </r>
    <r>
      <rPr>
        <vertAlign val="subscript"/>
        <sz val="10"/>
        <rFont val="Arial"/>
        <family val="2"/>
      </rPr>
      <t>X</t>
    </r>
  </si>
  <si>
    <r>
      <t>N/mm</t>
    </r>
    <r>
      <rPr>
        <vertAlign val="superscript"/>
        <sz val="10"/>
        <rFont val="Arial"/>
        <family val="2"/>
      </rPr>
      <t>2</t>
    </r>
  </si>
  <si>
    <r>
      <t>F</t>
    </r>
    <r>
      <rPr>
        <vertAlign val="subscript"/>
        <sz val="10"/>
        <rFont val="Arial"/>
        <family val="2"/>
      </rPr>
      <t>t</t>
    </r>
  </si>
  <si>
    <r>
      <t>K</t>
    </r>
    <r>
      <rPr>
        <vertAlign val="subscript"/>
        <sz val="12"/>
        <rFont val="Arial"/>
        <family val="2"/>
      </rPr>
      <t>Fa</t>
    </r>
  </si>
  <si>
    <r>
      <t>Y</t>
    </r>
    <r>
      <rPr>
        <vertAlign val="subscript"/>
        <sz val="10"/>
        <rFont val="Symbol"/>
        <family val="1"/>
      </rPr>
      <t>d</t>
    </r>
    <r>
      <rPr>
        <vertAlign val="subscript"/>
        <sz val="10"/>
        <rFont val="Arial"/>
        <family val="2"/>
      </rPr>
      <t>rel</t>
    </r>
  </si>
  <si>
    <r>
      <t>K</t>
    </r>
    <r>
      <rPr>
        <vertAlign val="subscript"/>
        <sz val="12"/>
        <rFont val="Arial"/>
        <family val="2"/>
      </rPr>
      <t>H</t>
    </r>
    <r>
      <rPr>
        <vertAlign val="subscript"/>
        <sz val="12"/>
        <rFont val="Symbol"/>
        <family val="1"/>
      </rPr>
      <t>b</t>
    </r>
  </si>
  <si>
    <t>mm</t>
  </si>
  <si>
    <r>
      <t>a</t>
    </r>
    <r>
      <rPr>
        <vertAlign val="subscript"/>
        <sz val="10"/>
        <rFont val="Arial"/>
        <family val="2"/>
      </rPr>
      <t>n</t>
    </r>
  </si>
  <si>
    <r>
      <t>N</t>
    </r>
    <r>
      <rPr>
        <vertAlign val="subscript"/>
        <sz val="10"/>
        <rFont val="Arial"/>
        <family val="2"/>
      </rPr>
      <t>L</t>
    </r>
  </si>
  <si>
    <r>
      <t>m</t>
    </r>
    <r>
      <rPr>
        <vertAlign val="subscript"/>
        <sz val="10"/>
        <rFont val="Arial"/>
        <family val="2"/>
      </rPr>
      <t>n</t>
    </r>
  </si>
  <si>
    <r>
      <t>z</t>
    </r>
    <r>
      <rPr>
        <vertAlign val="subscript"/>
        <sz val="10"/>
        <rFont val="Arial"/>
        <family val="2"/>
      </rPr>
      <t>1</t>
    </r>
    <r>
      <rPr>
        <sz val="10"/>
        <rFont val="Arial"/>
        <family val="2"/>
      </rPr>
      <t>,z</t>
    </r>
    <r>
      <rPr>
        <vertAlign val="subscript"/>
        <sz val="10"/>
        <rFont val="Arial"/>
        <family val="2"/>
      </rPr>
      <t xml:space="preserve">2 </t>
    </r>
  </si>
  <si>
    <r>
      <t>a</t>
    </r>
    <r>
      <rPr>
        <vertAlign val="subscript"/>
        <sz val="10"/>
        <rFont val="Arial"/>
        <family val="2"/>
      </rPr>
      <t xml:space="preserve">n </t>
    </r>
  </si>
  <si>
    <r>
      <t>b</t>
    </r>
    <r>
      <rPr>
        <vertAlign val="subscript"/>
        <sz val="10"/>
        <rFont val="Arial"/>
        <family val="2"/>
      </rPr>
      <t>1</t>
    </r>
    <r>
      <rPr>
        <sz val="10"/>
        <rFont val="Arial"/>
        <family val="2"/>
      </rPr>
      <t>, b</t>
    </r>
    <r>
      <rPr>
        <vertAlign val="subscript"/>
        <sz val="10"/>
        <rFont val="Arial"/>
        <family val="2"/>
      </rPr>
      <t>2</t>
    </r>
    <r>
      <rPr>
        <sz val="10"/>
        <rFont val="Arial"/>
        <family val="2"/>
      </rPr>
      <t xml:space="preserve"> </t>
    </r>
  </si>
  <si>
    <r>
      <t>W</t>
    </r>
    <r>
      <rPr>
        <vertAlign val="subscript"/>
        <sz val="10"/>
        <rFont val="Arial"/>
        <family val="2"/>
      </rPr>
      <t>k1</t>
    </r>
    <r>
      <rPr>
        <sz val="10"/>
        <rFont val="Arial"/>
        <family val="2"/>
      </rPr>
      <t>,W</t>
    </r>
    <r>
      <rPr>
        <vertAlign val="subscript"/>
        <sz val="10"/>
        <rFont val="Arial"/>
        <family val="2"/>
      </rPr>
      <t xml:space="preserve">k2 </t>
    </r>
  </si>
  <si>
    <t>n</t>
  </si>
  <si>
    <r>
      <t>x</t>
    </r>
    <r>
      <rPr>
        <vertAlign val="subscript"/>
        <sz val="10"/>
        <rFont val="Arial"/>
        <family val="2"/>
      </rPr>
      <t>1</t>
    </r>
  </si>
  <si>
    <r>
      <t>s</t>
    </r>
    <r>
      <rPr>
        <vertAlign val="subscript"/>
        <sz val="10"/>
        <rFont val="Arial"/>
        <family val="2"/>
      </rPr>
      <t>Flim</t>
    </r>
  </si>
  <si>
    <r>
      <t>s</t>
    </r>
    <r>
      <rPr>
        <vertAlign val="subscript"/>
        <sz val="10"/>
        <rFont val="Arial"/>
        <family val="2"/>
      </rPr>
      <t>Hlim</t>
    </r>
  </si>
  <si>
    <r>
      <t>R</t>
    </r>
    <r>
      <rPr>
        <vertAlign val="subscript"/>
        <sz val="10"/>
        <rFont val="Arial"/>
        <family val="2"/>
      </rPr>
      <t>z</t>
    </r>
  </si>
  <si>
    <t>TR</t>
  </si>
  <si>
    <t>DE</t>
  </si>
  <si>
    <t>EN</t>
  </si>
  <si>
    <t>Kullanacağınız sayfaya gelince, hesaplamaya başlamadan önce, bütün mavi karelerdeki değerleri siliniz. Böylece dikkatsizlik yanlışı yapma imkanını ortadan kaldırmış olursunuz.</t>
  </si>
  <si>
    <t>Sıra ile mavi karelere yapacağınız hesaba ait değerleri dikkatlice yerleştiriniz. Hesaplamalarınız için gerekli olmayan mavi karelere değerler yerleştirmek yanlış hesap sonuçlarına sebep olabilir. Dikkatli olmak gereklidir.</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</si>
  <si>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</si>
  <si>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Çoğu mavi karenin çevresinde değerlerin nereden alınması gerektiğini gösteren bilgi bulunmaktadır. Bu gösterilere uyulması hesapların doğruluğu açısından çok önemlidir.</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</si>
  <si>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</si>
  <si>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</si>
  <si>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</si>
  <si>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In der Umgebung der blauen Felder gibt es Hinweis, wo man die entsprechende Werte entnehmen kann. Es ist für die Sicherheit der Berechnungen sehr wichtig. Die Hinweise müssen befolgt werden.</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</si>
  <si>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</si>
  <si>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t>Nmm</t>
  </si>
  <si>
    <r>
      <t>n</t>
    </r>
    <r>
      <rPr>
        <vertAlign val="subscript"/>
        <sz val="10"/>
        <rFont val="Arial"/>
        <family val="2"/>
      </rPr>
      <t>2</t>
    </r>
  </si>
  <si>
    <t>[-]</t>
  </si>
  <si>
    <t>°</t>
  </si>
  <si>
    <r>
      <t>[</t>
    </r>
    <r>
      <rPr>
        <sz val="10"/>
        <rFont val="Arial"/>
        <family val="2"/>
      </rPr>
      <t>-]</t>
    </r>
  </si>
  <si>
    <r>
      <t>m</t>
    </r>
    <r>
      <rPr>
        <sz val="10"/>
        <rFont val="Arial"/>
        <family val="2"/>
      </rPr>
      <t>m</t>
    </r>
  </si>
  <si>
    <r>
      <t>n</t>
    </r>
    <r>
      <rPr>
        <vertAlign val="subscript"/>
        <sz val="10"/>
        <rFont val="Arial"/>
        <family val="2"/>
      </rPr>
      <t>1</t>
    </r>
  </si>
  <si>
    <r>
      <t>M</t>
    </r>
    <r>
      <rPr>
        <vertAlign val="subscript"/>
        <sz val="10"/>
        <rFont val="Arial"/>
        <family val="2"/>
      </rPr>
      <t>t</t>
    </r>
  </si>
  <si>
    <r>
      <t>z</t>
    </r>
    <r>
      <rPr>
        <vertAlign val="subscript"/>
        <sz val="10"/>
        <rFont val="Arial"/>
        <family val="2"/>
      </rPr>
      <t>1</t>
    </r>
  </si>
  <si>
    <r>
      <t>z</t>
    </r>
    <r>
      <rPr>
        <vertAlign val="subscript"/>
        <sz val="10"/>
        <rFont val="Arial"/>
        <family val="2"/>
      </rPr>
      <t>2</t>
    </r>
  </si>
  <si>
    <r>
      <t>b</t>
    </r>
    <r>
      <rPr>
        <vertAlign val="subscript"/>
        <sz val="10"/>
        <rFont val="Arial"/>
        <family val="2"/>
      </rPr>
      <t>1</t>
    </r>
  </si>
  <si>
    <r>
      <t>b</t>
    </r>
    <r>
      <rPr>
        <vertAlign val="subscript"/>
        <sz val="10"/>
        <rFont val="Arial"/>
        <family val="2"/>
      </rPr>
      <t>2</t>
    </r>
  </si>
  <si>
    <r>
      <t>R</t>
    </r>
    <r>
      <rPr>
        <vertAlign val="subscript"/>
        <sz val="10"/>
        <rFont val="Arial"/>
        <family val="2"/>
      </rPr>
      <t>z1</t>
    </r>
  </si>
  <si>
    <t>sağ</t>
  </si>
  <si>
    <t>sol</t>
  </si>
  <si>
    <r>
      <t>E</t>
    </r>
    <r>
      <rPr>
        <vertAlign val="subscript"/>
        <sz val="10"/>
        <rFont val="Arial"/>
        <family val="2"/>
      </rPr>
      <t>din</t>
    </r>
  </si>
  <si>
    <t>HB</t>
  </si>
  <si>
    <r>
      <t>s</t>
    </r>
    <r>
      <rPr>
        <vertAlign val="subscript"/>
        <sz val="12"/>
        <rFont val="Arial"/>
        <family val="2"/>
      </rPr>
      <t>Hlim</t>
    </r>
  </si>
  <si>
    <r>
      <t>s</t>
    </r>
    <r>
      <rPr>
        <vertAlign val="subscript"/>
        <sz val="12"/>
        <rFont val="Arial"/>
        <family val="2"/>
      </rPr>
      <t>FG</t>
    </r>
  </si>
  <si>
    <r>
      <t xml:space="preserve">h </t>
    </r>
    <r>
      <rPr>
        <vertAlign val="subscript"/>
        <sz val="12"/>
        <rFont val="Arial"/>
        <family val="2"/>
      </rPr>
      <t>WL</t>
    </r>
  </si>
  <si>
    <r>
      <t xml:space="preserve">h </t>
    </r>
    <r>
      <rPr>
        <vertAlign val="subscript"/>
        <sz val="12"/>
        <rFont val="Arial"/>
        <family val="2"/>
      </rPr>
      <t>ZR</t>
    </r>
  </si>
  <si>
    <r>
      <t xml:space="preserve">h </t>
    </r>
    <r>
      <rPr>
        <vertAlign val="subscript"/>
        <sz val="12"/>
        <rFont val="Arial"/>
        <family val="2"/>
      </rPr>
      <t>Di</t>
    </r>
  </si>
  <si>
    <r>
      <t>Z</t>
    </r>
    <r>
      <rPr>
        <vertAlign val="subscript"/>
        <sz val="12"/>
        <rFont val="Arial"/>
        <family val="2"/>
      </rPr>
      <t>H</t>
    </r>
  </si>
  <si>
    <r>
      <t>Z</t>
    </r>
    <r>
      <rPr>
        <vertAlign val="subscript"/>
        <sz val="12"/>
        <rFont val="Arial"/>
        <family val="2"/>
      </rPr>
      <t>E</t>
    </r>
  </si>
  <si>
    <r>
      <t>Z</t>
    </r>
    <r>
      <rPr>
        <vertAlign val="subscript"/>
        <sz val="12"/>
        <rFont val="Arial"/>
        <family val="2"/>
      </rPr>
      <t>L</t>
    </r>
  </si>
  <si>
    <r>
      <t>Z</t>
    </r>
    <r>
      <rPr>
        <vertAlign val="subscript"/>
        <sz val="12"/>
        <rFont val="Arial"/>
        <family val="2"/>
      </rPr>
      <t>V</t>
    </r>
  </si>
  <si>
    <r>
      <t>Z</t>
    </r>
    <r>
      <rPr>
        <vertAlign val="subscript"/>
        <sz val="12"/>
        <rFont val="Arial"/>
        <family val="2"/>
      </rPr>
      <t>R</t>
    </r>
  </si>
  <si>
    <t>Takım tezgahı</t>
  </si>
  <si>
    <r>
      <t>e</t>
    </r>
    <r>
      <rPr>
        <vertAlign val="subscript"/>
        <sz val="12"/>
        <rFont val="Symbol"/>
        <family val="1"/>
      </rPr>
      <t>a</t>
    </r>
  </si>
  <si>
    <r>
      <t>A</t>
    </r>
    <r>
      <rPr>
        <vertAlign val="subscript"/>
        <sz val="12"/>
        <rFont val="Arial"/>
        <family val="2"/>
      </rPr>
      <t>üWk</t>
    </r>
  </si>
  <si>
    <r>
      <t>A</t>
    </r>
    <r>
      <rPr>
        <vertAlign val="subscript"/>
        <sz val="12"/>
        <rFont val="Arial"/>
        <family val="2"/>
      </rPr>
      <t>aWk</t>
    </r>
  </si>
  <si>
    <r>
      <t>W</t>
    </r>
    <r>
      <rPr>
        <vertAlign val="subscript"/>
        <sz val="12"/>
        <rFont val="Arial"/>
        <family val="2"/>
      </rPr>
      <t>kü</t>
    </r>
  </si>
  <si>
    <r>
      <t>W</t>
    </r>
    <r>
      <rPr>
        <vertAlign val="subscript"/>
        <sz val="12"/>
        <rFont val="Arial"/>
        <family val="2"/>
      </rPr>
      <t>ka</t>
    </r>
  </si>
  <si>
    <r>
      <t>d</t>
    </r>
    <r>
      <rPr>
        <vertAlign val="subscript"/>
        <sz val="12"/>
        <rFont val="Arial"/>
        <family val="2"/>
      </rPr>
      <t>b1</t>
    </r>
    <r>
      <rPr>
        <sz val="10"/>
        <rFont val="Arial"/>
        <family val="2"/>
      </rPr>
      <t>,d</t>
    </r>
    <r>
      <rPr>
        <vertAlign val="subscript"/>
        <sz val="12"/>
        <rFont val="Arial"/>
        <family val="2"/>
      </rPr>
      <t xml:space="preserve">b2 </t>
    </r>
  </si>
  <si>
    <r>
      <t>e</t>
    </r>
    <r>
      <rPr>
        <vertAlign val="subscript"/>
        <sz val="12"/>
        <rFont val="Symbol"/>
        <family val="1"/>
      </rPr>
      <t>b</t>
    </r>
  </si>
  <si>
    <r>
      <t>d</t>
    </r>
    <r>
      <rPr>
        <vertAlign val="subscript"/>
        <sz val="12"/>
        <rFont val="Arial"/>
        <family val="2"/>
      </rPr>
      <t>a1</t>
    </r>
    <r>
      <rPr>
        <sz val="10"/>
        <rFont val="Arial"/>
        <family val="2"/>
      </rPr>
      <t>,d</t>
    </r>
    <r>
      <rPr>
        <vertAlign val="subscript"/>
        <sz val="12"/>
        <rFont val="Arial"/>
        <family val="2"/>
      </rPr>
      <t>a2</t>
    </r>
    <r>
      <rPr>
        <vertAlign val="subscript"/>
        <sz val="10"/>
        <rFont val="Arial"/>
        <family val="2"/>
      </rPr>
      <t xml:space="preserve"> </t>
    </r>
  </si>
  <si>
    <r>
      <t>k</t>
    </r>
    <r>
      <rPr>
        <vertAlign val="subscript"/>
        <sz val="12"/>
        <rFont val="Arial"/>
        <family val="2"/>
      </rPr>
      <t>1</t>
    </r>
    <r>
      <rPr>
        <sz val="10"/>
        <rFont val="Arial"/>
        <family val="2"/>
      </rPr>
      <t>,k</t>
    </r>
    <r>
      <rPr>
        <vertAlign val="subscript"/>
        <sz val="12"/>
        <rFont val="Arial"/>
        <family val="2"/>
      </rPr>
      <t>2</t>
    </r>
  </si>
  <si>
    <r>
      <t>d</t>
    </r>
    <r>
      <rPr>
        <vertAlign val="subscript"/>
        <sz val="12"/>
        <rFont val="Arial"/>
        <family val="2"/>
      </rPr>
      <t>1</t>
    </r>
    <r>
      <rPr>
        <sz val="10"/>
        <rFont val="Arial"/>
        <family val="2"/>
      </rPr>
      <t>, d</t>
    </r>
    <r>
      <rPr>
        <vertAlign val="subscript"/>
        <sz val="12"/>
        <rFont val="Arial"/>
        <family val="2"/>
      </rPr>
      <t xml:space="preserve">2 </t>
    </r>
    <r>
      <rPr>
        <vertAlign val="subscript"/>
        <sz val="10"/>
        <rFont val="Arial"/>
        <family val="2"/>
      </rPr>
      <t xml:space="preserve"> </t>
    </r>
    <r>
      <rPr>
        <sz val="10"/>
        <rFont val="Arial"/>
        <family val="2"/>
      </rPr>
      <t xml:space="preserve">  </t>
    </r>
  </si>
  <si>
    <r>
      <t>x</t>
    </r>
    <r>
      <rPr>
        <vertAlign val="subscript"/>
        <sz val="12"/>
        <rFont val="Arial"/>
        <family val="2"/>
      </rPr>
      <t>1</t>
    </r>
    <r>
      <rPr>
        <sz val="10"/>
        <rFont val="Arial"/>
        <family val="2"/>
      </rPr>
      <t>, x</t>
    </r>
    <r>
      <rPr>
        <vertAlign val="subscript"/>
        <sz val="12"/>
        <rFont val="Arial"/>
        <family val="2"/>
      </rPr>
      <t>2</t>
    </r>
    <r>
      <rPr>
        <sz val="10"/>
        <rFont val="Arial"/>
        <family val="2"/>
      </rPr>
      <t xml:space="preserve"> </t>
    </r>
  </si>
  <si>
    <r>
      <t>z</t>
    </r>
    <r>
      <rPr>
        <vertAlign val="subscript"/>
        <sz val="12"/>
        <rFont val="Arial"/>
        <family val="2"/>
      </rPr>
      <t>n1</t>
    </r>
    <r>
      <rPr>
        <sz val="10"/>
        <rFont val="Arial"/>
        <family val="2"/>
      </rPr>
      <t>, z</t>
    </r>
    <r>
      <rPr>
        <vertAlign val="subscript"/>
        <sz val="12"/>
        <rFont val="Arial"/>
        <family val="2"/>
      </rPr>
      <t xml:space="preserve">n2 </t>
    </r>
  </si>
  <si>
    <r>
      <t>b</t>
    </r>
    <r>
      <rPr>
        <vertAlign val="subscript"/>
        <sz val="12"/>
        <rFont val="Arial"/>
        <family val="2"/>
      </rPr>
      <t>b</t>
    </r>
    <r>
      <rPr>
        <vertAlign val="subscript"/>
        <sz val="10"/>
        <rFont val="Arial"/>
        <family val="2"/>
      </rPr>
      <t xml:space="preserve">   </t>
    </r>
    <r>
      <rPr>
        <sz val="10"/>
        <rFont val="Arial"/>
        <family val="2"/>
      </rPr>
      <t xml:space="preserve">  </t>
    </r>
  </si>
  <si>
    <r>
      <t>k.m</t>
    </r>
    <r>
      <rPr>
        <vertAlign val="subscript"/>
        <sz val="12"/>
        <rFont val="Arial"/>
        <family val="2"/>
      </rPr>
      <t xml:space="preserve">n </t>
    </r>
    <r>
      <rPr>
        <vertAlign val="subscript"/>
        <sz val="10"/>
        <rFont val="Arial"/>
        <family val="2"/>
      </rPr>
      <t xml:space="preserve">  </t>
    </r>
  </si>
  <si>
    <r>
      <t>(x</t>
    </r>
    <r>
      <rPr>
        <vertAlign val="subscript"/>
        <sz val="12"/>
        <rFont val="Arial"/>
        <family val="2"/>
      </rPr>
      <t>1</t>
    </r>
    <r>
      <rPr>
        <sz val="10"/>
        <rFont val="Arial"/>
        <family val="2"/>
      </rPr>
      <t>+x</t>
    </r>
    <r>
      <rPr>
        <vertAlign val="subscript"/>
        <sz val="12"/>
        <rFont val="Arial"/>
        <family val="2"/>
      </rPr>
      <t>2</t>
    </r>
    <r>
      <rPr>
        <sz val="10"/>
        <rFont val="Arial"/>
        <family val="2"/>
      </rPr>
      <t>)</t>
    </r>
  </si>
  <si>
    <r>
      <t xml:space="preserve">inv </t>
    </r>
    <r>
      <rPr>
        <sz val="10"/>
        <rFont val="Symbol"/>
        <family val="1"/>
      </rPr>
      <t>a</t>
    </r>
    <r>
      <rPr>
        <vertAlign val="subscript"/>
        <sz val="12"/>
        <rFont val="Arial"/>
        <family val="2"/>
      </rPr>
      <t>wt</t>
    </r>
  </si>
  <si>
    <r>
      <t xml:space="preserve">inv </t>
    </r>
    <r>
      <rPr>
        <sz val="10"/>
        <rFont val="Symbol"/>
        <family val="1"/>
      </rPr>
      <t>a</t>
    </r>
    <r>
      <rPr>
        <vertAlign val="subscript"/>
        <sz val="12"/>
        <rFont val="Arial"/>
        <family val="2"/>
      </rPr>
      <t>t</t>
    </r>
  </si>
  <si>
    <r>
      <t>a</t>
    </r>
    <r>
      <rPr>
        <vertAlign val="subscript"/>
        <sz val="12"/>
        <rFont val="Arial"/>
        <family val="2"/>
      </rPr>
      <t>wt</t>
    </r>
    <r>
      <rPr>
        <vertAlign val="subscript"/>
        <sz val="10"/>
        <rFont val="Arial"/>
        <family val="2"/>
      </rPr>
      <t xml:space="preserve">    </t>
    </r>
  </si>
  <si>
    <r>
      <t>a</t>
    </r>
    <r>
      <rPr>
        <vertAlign val="subscript"/>
        <sz val="12"/>
        <rFont val="Arial"/>
        <family val="2"/>
      </rPr>
      <t>o</t>
    </r>
    <r>
      <rPr>
        <vertAlign val="subscript"/>
        <sz val="10"/>
        <rFont val="Arial"/>
        <family val="2"/>
      </rPr>
      <t xml:space="preserve"> </t>
    </r>
    <r>
      <rPr>
        <sz val="10"/>
        <rFont val="Arial"/>
        <family val="2"/>
      </rPr>
      <t xml:space="preserve">      </t>
    </r>
  </si>
  <si>
    <r>
      <t>a</t>
    </r>
    <r>
      <rPr>
        <vertAlign val="subscript"/>
        <sz val="12"/>
        <rFont val="Arial"/>
        <family val="2"/>
      </rPr>
      <t>t</t>
    </r>
    <r>
      <rPr>
        <vertAlign val="subscript"/>
        <sz val="10"/>
        <rFont val="Arial"/>
        <family val="2"/>
      </rPr>
      <t xml:space="preserve">      </t>
    </r>
  </si>
  <si>
    <r>
      <t>m</t>
    </r>
    <r>
      <rPr>
        <vertAlign val="subscript"/>
        <sz val="12"/>
        <rFont val="Arial"/>
        <family val="2"/>
      </rPr>
      <t xml:space="preserve">t </t>
    </r>
    <r>
      <rPr>
        <sz val="12"/>
        <rFont val="Arial"/>
        <family val="2"/>
      </rPr>
      <t xml:space="preserve"> </t>
    </r>
    <r>
      <rPr>
        <sz val="10"/>
        <rFont val="Arial"/>
        <family val="2"/>
      </rPr>
      <t xml:space="preserve">     </t>
    </r>
  </si>
  <si>
    <r>
      <t>W</t>
    </r>
    <r>
      <rPr>
        <vertAlign val="subscript"/>
        <sz val="12"/>
        <rFont val="Arial"/>
        <family val="2"/>
      </rPr>
      <t>k</t>
    </r>
  </si>
  <si>
    <r>
      <t>A</t>
    </r>
    <r>
      <rPr>
        <vertAlign val="subscript"/>
        <sz val="12"/>
        <rFont val="Arial"/>
        <family val="2"/>
      </rPr>
      <t>a</t>
    </r>
  </si>
  <si>
    <r>
      <t>d</t>
    </r>
    <r>
      <rPr>
        <vertAlign val="subscript"/>
        <sz val="12"/>
        <rFont val="Arial"/>
        <family val="2"/>
      </rPr>
      <t>a</t>
    </r>
  </si>
  <si>
    <r>
      <t>z</t>
    </r>
    <r>
      <rPr>
        <vertAlign val="subscript"/>
        <sz val="10"/>
        <rFont val="Arial"/>
        <family val="2"/>
      </rPr>
      <t>1</t>
    </r>
    <r>
      <rPr>
        <sz val="10"/>
        <rFont val="Arial"/>
        <family val="2"/>
      </rPr>
      <t>,z</t>
    </r>
    <r>
      <rPr>
        <vertAlign val="subscript"/>
        <sz val="10"/>
        <rFont val="Arial"/>
        <family val="2"/>
      </rPr>
      <t xml:space="preserve">2 </t>
    </r>
  </si>
  <si>
    <r>
      <t>b</t>
    </r>
    <r>
      <rPr>
        <vertAlign val="subscript"/>
        <sz val="10"/>
        <rFont val="Arial"/>
        <family val="2"/>
      </rPr>
      <t>1</t>
    </r>
    <r>
      <rPr>
        <sz val="10"/>
        <rFont val="Arial"/>
        <family val="2"/>
      </rPr>
      <t>, b</t>
    </r>
    <r>
      <rPr>
        <vertAlign val="subscript"/>
        <sz val="10"/>
        <rFont val="Arial"/>
        <family val="2"/>
      </rPr>
      <t>2</t>
    </r>
    <r>
      <rPr>
        <sz val="10"/>
        <rFont val="Arial"/>
        <family val="2"/>
      </rPr>
      <t xml:space="preserve"> </t>
    </r>
  </si>
  <si>
    <r>
      <t>m</t>
    </r>
    <r>
      <rPr>
        <vertAlign val="subscript"/>
        <sz val="12"/>
        <rFont val="Arial"/>
        <family val="2"/>
      </rPr>
      <t xml:space="preserve">t </t>
    </r>
    <r>
      <rPr>
        <sz val="12"/>
        <rFont val="Arial"/>
        <family val="2"/>
      </rPr>
      <t xml:space="preserve"> </t>
    </r>
    <r>
      <rPr>
        <sz val="10"/>
        <rFont val="Arial"/>
        <family val="2"/>
      </rPr>
      <t xml:space="preserve">     </t>
    </r>
  </si>
  <si>
    <r>
      <t>a</t>
    </r>
    <r>
      <rPr>
        <vertAlign val="subscript"/>
        <sz val="12"/>
        <rFont val="Arial"/>
        <family val="2"/>
      </rPr>
      <t>o</t>
    </r>
    <r>
      <rPr>
        <vertAlign val="subscript"/>
        <sz val="10"/>
        <rFont val="Arial"/>
        <family val="2"/>
      </rPr>
      <t xml:space="preserve"> </t>
    </r>
    <r>
      <rPr>
        <sz val="10"/>
        <rFont val="Arial"/>
        <family val="2"/>
      </rPr>
      <t xml:space="preserve">      </t>
    </r>
  </si>
  <si>
    <r>
      <t>(x</t>
    </r>
    <r>
      <rPr>
        <vertAlign val="subscript"/>
        <sz val="12"/>
        <rFont val="Arial"/>
        <family val="2"/>
      </rPr>
      <t>1</t>
    </r>
    <r>
      <rPr>
        <sz val="10"/>
        <rFont val="Arial"/>
        <family val="2"/>
      </rPr>
      <t>+x</t>
    </r>
    <r>
      <rPr>
        <vertAlign val="subscript"/>
        <sz val="12"/>
        <rFont val="Arial"/>
        <family val="2"/>
      </rPr>
      <t>2</t>
    </r>
    <r>
      <rPr>
        <sz val="10"/>
        <rFont val="Arial"/>
        <family val="2"/>
      </rPr>
      <t>)</t>
    </r>
  </si>
  <si>
    <r>
      <t>b</t>
    </r>
    <r>
      <rPr>
        <vertAlign val="subscript"/>
        <sz val="12"/>
        <rFont val="Arial"/>
        <family val="2"/>
      </rPr>
      <t>b</t>
    </r>
    <r>
      <rPr>
        <vertAlign val="subscript"/>
        <sz val="10"/>
        <rFont val="Arial"/>
        <family val="2"/>
      </rPr>
      <t xml:space="preserve">   </t>
    </r>
    <r>
      <rPr>
        <sz val="10"/>
        <rFont val="Arial"/>
        <family val="2"/>
      </rPr>
      <t xml:space="preserve">  </t>
    </r>
  </si>
  <si>
    <r>
      <t>z</t>
    </r>
    <r>
      <rPr>
        <vertAlign val="subscript"/>
        <sz val="12"/>
        <rFont val="Arial"/>
        <family val="2"/>
      </rPr>
      <t>n1</t>
    </r>
    <r>
      <rPr>
        <sz val="10"/>
        <rFont val="Arial"/>
        <family val="2"/>
      </rPr>
      <t>, z</t>
    </r>
    <r>
      <rPr>
        <vertAlign val="subscript"/>
        <sz val="12"/>
        <rFont val="Arial"/>
        <family val="2"/>
      </rPr>
      <t xml:space="preserve">n2 </t>
    </r>
  </si>
  <si>
    <r>
      <t>x</t>
    </r>
    <r>
      <rPr>
        <vertAlign val="subscript"/>
        <sz val="12"/>
        <rFont val="Arial"/>
        <family val="2"/>
      </rPr>
      <t>1</t>
    </r>
    <r>
      <rPr>
        <sz val="10"/>
        <rFont val="Arial"/>
        <family val="2"/>
      </rPr>
      <t>, x</t>
    </r>
    <r>
      <rPr>
        <vertAlign val="subscript"/>
        <sz val="12"/>
        <rFont val="Arial"/>
        <family val="2"/>
      </rPr>
      <t>2</t>
    </r>
    <r>
      <rPr>
        <sz val="10"/>
        <rFont val="Arial"/>
        <family val="2"/>
      </rPr>
      <t xml:space="preserve"> </t>
    </r>
  </si>
  <si>
    <r>
      <t>d</t>
    </r>
    <r>
      <rPr>
        <vertAlign val="subscript"/>
        <sz val="12"/>
        <rFont val="Arial"/>
        <family val="2"/>
      </rPr>
      <t>1</t>
    </r>
    <r>
      <rPr>
        <sz val="10"/>
        <rFont val="Arial"/>
        <family val="2"/>
      </rPr>
      <t>, d</t>
    </r>
    <r>
      <rPr>
        <vertAlign val="subscript"/>
        <sz val="12"/>
        <rFont val="Arial"/>
        <family val="2"/>
      </rPr>
      <t xml:space="preserve">2 </t>
    </r>
    <r>
      <rPr>
        <vertAlign val="subscript"/>
        <sz val="10"/>
        <rFont val="Arial"/>
        <family val="2"/>
      </rPr>
      <t xml:space="preserve"> </t>
    </r>
    <r>
      <rPr>
        <sz val="10"/>
        <rFont val="Arial"/>
        <family val="2"/>
      </rPr>
      <t xml:space="preserve">  </t>
    </r>
  </si>
  <si>
    <r>
      <t>d</t>
    </r>
    <r>
      <rPr>
        <vertAlign val="subscript"/>
        <sz val="12"/>
        <rFont val="Arial"/>
        <family val="2"/>
      </rPr>
      <t>a1</t>
    </r>
    <r>
      <rPr>
        <sz val="10"/>
        <rFont val="Arial"/>
        <family val="2"/>
      </rPr>
      <t>,d</t>
    </r>
    <r>
      <rPr>
        <vertAlign val="subscript"/>
        <sz val="12"/>
        <rFont val="Arial"/>
        <family val="2"/>
      </rPr>
      <t>a2</t>
    </r>
    <r>
      <rPr>
        <vertAlign val="subscript"/>
        <sz val="10"/>
        <rFont val="Arial"/>
        <family val="2"/>
      </rPr>
      <t xml:space="preserve"> </t>
    </r>
  </si>
  <si>
    <r>
      <t>k</t>
    </r>
    <r>
      <rPr>
        <vertAlign val="subscript"/>
        <sz val="12"/>
        <rFont val="Arial"/>
        <family val="2"/>
      </rPr>
      <t>1</t>
    </r>
    <r>
      <rPr>
        <sz val="10"/>
        <rFont val="Arial"/>
        <family val="2"/>
      </rPr>
      <t>,k</t>
    </r>
    <r>
      <rPr>
        <vertAlign val="subscript"/>
        <sz val="12"/>
        <rFont val="Arial"/>
        <family val="2"/>
      </rPr>
      <t>2</t>
    </r>
  </si>
  <si>
    <r>
      <t>W</t>
    </r>
    <r>
      <rPr>
        <vertAlign val="subscript"/>
        <sz val="10"/>
        <rFont val="Arial"/>
        <family val="2"/>
      </rPr>
      <t>k1</t>
    </r>
    <r>
      <rPr>
        <sz val="10"/>
        <rFont val="Arial"/>
        <family val="2"/>
      </rPr>
      <t>,W</t>
    </r>
    <r>
      <rPr>
        <vertAlign val="subscript"/>
        <sz val="10"/>
        <rFont val="Arial"/>
        <family val="2"/>
      </rPr>
      <t xml:space="preserve">k2 </t>
    </r>
  </si>
  <si>
    <r>
      <t>d</t>
    </r>
    <r>
      <rPr>
        <vertAlign val="subscript"/>
        <sz val="12"/>
        <rFont val="Arial"/>
        <family val="2"/>
      </rPr>
      <t>b1</t>
    </r>
    <r>
      <rPr>
        <sz val="10"/>
        <rFont val="Arial"/>
        <family val="2"/>
      </rPr>
      <t>,d</t>
    </r>
    <r>
      <rPr>
        <vertAlign val="subscript"/>
        <sz val="12"/>
        <rFont val="Arial"/>
        <family val="2"/>
      </rPr>
      <t xml:space="preserve">b2 </t>
    </r>
  </si>
  <si>
    <r>
      <t>A</t>
    </r>
    <r>
      <rPr>
        <vertAlign val="subscript"/>
        <sz val="10"/>
        <rFont val="Arial"/>
        <family val="2"/>
      </rPr>
      <t>a</t>
    </r>
    <r>
      <rPr>
        <sz val="10"/>
        <rFont val="Arial"/>
        <family val="2"/>
      </rPr>
      <t xml:space="preserve"> (mm)</t>
    </r>
  </si>
  <si>
    <r>
      <t>A</t>
    </r>
    <r>
      <rPr>
        <vertAlign val="subscript"/>
        <sz val="12"/>
        <rFont val="Arial"/>
        <family val="2"/>
      </rPr>
      <t>sne</t>
    </r>
  </si>
  <si>
    <r>
      <t>T</t>
    </r>
    <r>
      <rPr>
        <vertAlign val="subscript"/>
        <sz val="12"/>
        <rFont val="Arial"/>
        <family val="2"/>
      </rPr>
      <t>sn</t>
    </r>
  </si>
  <si>
    <t>a1</t>
  </si>
  <si>
    <t>d11</t>
  </si>
  <si>
    <t>d21</t>
  </si>
  <si>
    <r>
      <t>s</t>
    </r>
    <r>
      <rPr>
        <vertAlign val="subscript"/>
        <sz val="10"/>
        <rFont val="Arial"/>
        <family val="2"/>
      </rPr>
      <t>FG</t>
    </r>
  </si>
  <si>
    <r>
      <t>s</t>
    </r>
    <r>
      <rPr>
        <vertAlign val="subscript"/>
        <sz val="10"/>
        <rFont val="Arial"/>
        <family val="2"/>
      </rPr>
      <t>Hhes</t>
    </r>
  </si>
  <si>
    <r>
      <t>s</t>
    </r>
    <r>
      <rPr>
        <vertAlign val="subscript"/>
        <sz val="10"/>
        <rFont val="Arial"/>
        <family val="2"/>
      </rPr>
      <t>HG</t>
    </r>
  </si>
  <si>
    <r>
      <t>S</t>
    </r>
    <r>
      <rPr>
        <vertAlign val="subscript"/>
        <sz val="10"/>
        <rFont val="Arial"/>
        <family val="2"/>
      </rPr>
      <t>Fhes</t>
    </r>
  </si>
  <si>
    <r>
      <t>S</t>
    </r>
    <r>
      <rPr>
        <vertAlign val="subscript"/>
        <sz val="10"/>
        <rFont val="Arial"/>
        <family val="2"/>
      </rPr>
      <t>Hhes</t>
    </r>
  </si>
  <si>
    <r>
      <t>S</t>
    </r>
    <r>
      <rPr>
        <vertAlign val="subscript"/>
        <sz val="12"/>
        <rFont val="Arial"/>
        <family val="2"/>
      </rPr>
      <t>Fem</t>
    </r>
  </si>
  <si>
    <r>
      <t>S</t>
    </r>
    <r>
      <rPr>
        <vertAlign val="subscript"/>
        <sz val="12"/>
        <rFont val="Arial"/>
        <family val="2"/>
      </rPr>
      <t>Hem</t>
    </r>
  </si>
  <si>
    <t>a2</t>
  </si>
  <si>
    <t>a3</t>
  </si>
  <si>
    <t>Türkçe için, lütfen " 1 " yaz ve "Enter" i tuşla.</t>
  </si>
  <si>
    <t>Für Deutsch, tippen Sie bitte " 2 " ein und enter.</t>
  </si>
  <si>
    <t>For English, please type " 3 " and press "enter".</t>
  </si>
  <si>
    <r>
      <t>s</t>
    </r>
    <r>
      <rPr>
        <vertAlign val="subscript"/>
        <sz val="12"/>
        <rFont val="Arial"/>
        <family val="2"/>
      </rPr>
      <t>Hhe</t>
    </r>
  </si>
  <si>
    <t>www.guven-kutay.ch</t>
  </si>
  <si>
    <t>e-mail :  info@guven-kutay.ch</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</si>
  <si>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</si>
  <si>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</si>
  <si>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D</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</si>
  <si>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</si>
  <si>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E</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</si>
  <si>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</si>
  <si>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</si>
  <si>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</si>
  <si>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0. Programın kullanılması</t>
  </si>
  <si>
    <t>0. Benützung des Programmes</t>
  </si>
  <si>
    <t>0. Using the program</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</si>
  <si>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</si>
  <si>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</si>
  <si>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</si>
  <si>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If you open the calculation page, please extinguish all values in the blue fields first to avoid errors.</t>
  </si>
  <si>
    <t>Please enter your input values carefully in the blue fields. Unused inputs can be left blank. Please be careful.</t>
  </si>
  <si>
    <t>The program returns calculated results to the yellow fields. The user can accept these results, or change them.</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</si>
  <si>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</si>
  <si>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</si>
  <si>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</si>
  <si>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</si>
  <si>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</si>
  <si>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</si>
  <si>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</si>
  <si>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</si>
  <si>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</si>
  <si>
    <r>
      <t>J</t>
    </r>
    <r>
      <rPr>
        <sz val="10"/>
        <rFont val="Arial"/>
        <family val="2"/>
      </rPr>
      <t xml:space="preserve"> (Teta)</t>
    </r>
  </si>
  <si>
    <r>
      <t>E</t>
    </r>
    <r>
      <rPr>
        <vertAlign val="subscript"/>
        <sz val="10"/>
        <rFont val="Arial"/>
        <family val="2"/>
      </rPr>
      <t>dyn</t>
    </r>
  </si>
  <si>
    <r>
      <t>s</t>
    </r>
    <r>
      <rPr>
        <vertAlign val="subscript"/>
        <sz val="10"/>
        <rFont val="Arial"/>
        <family val="2"/>
      </rPr>
      <t>FO</t>
    </r>
  </si>
  <si>
    <r>
      <t>s</t>
    </r>
    <r>
      <rPr>
        <vertAlign val="subscript"/>
        <sz val="10"/>
        <rFont val="Arial"/>
        <family val="2"/>
      </rPr>
      <t>HO</t>
    </r>
  </si>
  <si>
    <r>
      <t>Y</t>
    </r>
    <r>
      <rPr>
        <vertAlign val="subscript"/>
        <sz val="10"/>
        <rFont val="Arial"/>
        <family val="2"/>
      </rPr>
      <t>Fa</t>
    </r>
    <r>
      <rPr>
        <sz val="10"/>
        <rFont val="Arial"/>
        <family val="2"/>
      </rPr>
      <t xml:space="preserve"> </t>
    </r>
  </si>
  <si>
    <r>
      <t>Z</t>
    </r>
    <r>
      <rPr>
        <vertAlign val="subscript"/>
        <sz val="10"/>
        <rFont val="Symbol"/>
        <family val="1"/>
      </rPr>
      <t>e</t>
    </r>
    <r>
      <rPr>
        <sz val="10"/>
        <rFont val="Arial"/>
        <family val="2"/>
      </rPr>
      <t xml:space="preserve"> </t>
    </r>
  </si>
  <si>
    <r>
      <t>Y</t>
    </r>
    <r>
      <rPr>
        <vertAlign val="subscript"/>
        <sz val="10"/>
        <rFont val="Arial"/>
        <family val="2"/>
      </rPr>
      <t>Sa</t>
    </r>
  </si>
  <si>
    <r>
      <t>Z</t>
    </r>
    <r>
      <rPr>
        <vertAlign val="subscript"/>
        <sz val="10"/>
        <rFont val="Symbol"/>
        <family val="1"/>
      </rPr>
      <t>b</t>
    </r>
  </si>
  <si>
    <t xml:space="preserve">Bu bir yineleme hesabıdır. Mavi karelerde "#ZAHL! " veya " #DIV0!" görüldüğünde, "#ZAHL! "  veya " #DIV0!" yerine "=Tetanın kare numarasını" (bir üst kare) veriniz. Daha sonra standart çubukta şu emirleri veriniz: </t>
  </si>
  <si>
    <r>
      <t>Y</t>
    </r>
    <r>
      <rPr>
        <sz val="10"/>
        <rFont val="Symbol"/>
        <family val="1"/>
      </rPr>
      <t>e</t>
    </r>
  </si>
  <si>
    <r>
      <t>Z</t>
    </r>
    <r>
      <rPr>
        <vertAlign val="subscript"/>
        <sz val="10"/>
        <rFont val="Arial"/>
        <family val="2"/>
      </rPr>
      <t>H</t>
    </r>
  </si>
  <si>
    <r>
      <t>Y</t>
    </r>
    <r>
      <rPr>
        <vertAlign val="subscript"/>
        <sz val="10"/>
        <rFont val="Symbol"/>
        <family val="1"/>
      </rPr>
      <t>b</t>
    </r>
  </si>
  <si>
    <r>
      <t>Z</t>
    </r>
    <r>
      <rPr>
        <vertAlign val="subscript"/>
        <sz val="10"/>
        <rFont val="Arial"/>
        <family val="2"/>
      </rPr>
      <t>E</t>
    </r>
  </si>
  <si>
    <t>Araçlar  /  Seçenekler  /  Hesaplama  / yinelemeyi çengelleyin /  Şimdi Hesapla (F9) veya Tamam'a basın.</t>
  </si>
  <si>
    <r>
      <t>s</t>
    </r>
    <r>
      <rPr>
        <vertAlign val="subscript"/>
        <sz val="10"/>
        <rFont val="Arial"/>
        <family val="2"/>
      </rPr>
      <t>Fhes</t>
    </r>
  </si>
  <si>
    <r>
      <t>s</t>
    </r>
    <r>
      <rPr>
        <vertAlign val="subscript"/>
        <sz val="10"/>
        <rFont val="Arial"/>
        <family val="2"/>
      </rPr>
      <t>HY</t>
    </r>
  </si>
  <si>
    <r>
      <t>K</t>
    </r>
    <r>
      <rPr>
        <vertAlign val="subscript"/>
        <sz val="10"/>
        <rFont val="Arial"/>
        <family val="2"/>
      </rPr>
      <t>İŞ</t>
    </r>
  </si>
  <si>
    <t xml:space="preserve">Es ist eine Iterationsrechnung. Wenn hier "#ZAHL! " oder " #DIV0!" erscheint, geben Sie bitte statt "#ZAHL! " die Zellennummer von Teta (obere Zelle) ein. Dann aus Fallmenü weitere befehle wählen: </t>
  </si>
  <si>
    <r>
      <t>K</t>
    </r>
    <r>
      <rPr>
        <vertAlign val="subscript"/>
        <sz val="10"/>
        <rFont val="Arial"/>
        <family val="2"/>
      </rPr>
      <t xml:space="preserve">V </t>
    </r>
  </si>
  <si>
    <r>
      <t>K</t>
    </r>
    <r>
      <rPr>
        <vertAlign val="subscript"/>
        <sz val="10"/>
        <rFont val="Arial"/>
        <family val="2"/>
      </rPr>
      <t>F</t>
    </r>
    <r>
      <rPr>
        <vertAlign val="subscript"/>
        <sz val="10"/>
        <rFont val="Symbol"/>
        <family val="1"/>
      </rPr>
      <t>b</t>
    </r>
  </si>
  <si>
    <r>
      <t>K</t>
    </r>
    <r>
      <rPr>
        <vertAlign val="subscript"/>
        <sz val="10"/>
        <rFont val="Arial"/>
        <family val="2"/>
      </rPr>
      <t>F</t>
    </r>
    <r>
      <rPr>
        <vertAlign val="subscript"/>
        <sz val="10"/>
        <rFont val="Symbol"/>
        <family val="1"/>
      </rPr>
      <t>a</t>
    </r>
  </si>
  <si>
    <r>
      <t>K</t>
    </r>
    <r>
      <rPr>
        <vertAlign val="subscript"/>
        <sz val="10"/>
        <rFont val="Arial"/>
        <family val="2"/>
      </rPr>
      <t>H</t>
    </r>
    <r>
      <rPr>
        <vertAlign val="subscript"/>
        <sz val="10"/>
        <rFont val="Symbol"/>
        <family val="1"/>
      </rPr>
      <t>b</t>
    </r>
  </si>
  <si>
    <t>Extra  /  Optionen  /  Berechnen  / Iteration einhaken /  Neuberechnen (F9) oder OK tippen .</t>
  </si>
  <si>
    <r>
      <t>K</t>
    </r>
    <r>
      <rPr>
        <vertAlign val="subscript"/>
        <sz val="10"/>
        <rFont val="Arial"/>
        <family val="2"/>
      </rPr>
      <t>H</t>
    </r>
    <r>
      <rPr>
        <vertAlign val="subscript"/>
        <sz val="10"/>
        <rFont val="Symbol"/>
        <family val="1"/>
      </rPr>
      <t>a</t>
    </r>
    <r>
      <rPr>
        <vertAlign val="subscript"/>
        <sz val="10"/>
        <rFont val="Arial"/>
        <family val="2"/>
      </rPr>
      <t xml:space="preserve"> </t>
    </r>
  </si>
  <si>
    <t xml:space="preserve">It is an iteration bill. If here "#ZAHL! "Or" #DIV0!" appears, please, allow you"#ZAHL! "The cell number of Teta (upper cell) on. Then further from menu order choose: </t>
  </si>
  <si>
    <r>
      <t>G</t>
    </r>
    <r>
      <rPr>
        <vertAlign val="subscript"/>
        <sz val="10"/>
        <color indexed="10"/>
        <rFont val="Arial"/>
        <family val="2"/>
      </rPr>
      <t>1</t>
    </r>
    <r>
      <rPr>
        <sz val="10"/>
        <color indexed="10"/>
        <rFont val="Arial"/>
        <family val="2"/>
      </rPr>
      <t xml:space="preserve"> = </t>
    </r>
  </si>
  <si>
    <r>
      <t>Z</t>
    </r>
    <r>
      <rPr>
        <vertAlign val="subscript"/>
        <sz val="10"/>
        <rFont val="Arial"/>
        <family val="2"/>
      </rPr>
      <t xml:space="preserve">NT </t>
    </r>
  </si>
  <si>
    <r>
      <t>G</t>
    </r>
    <r>
      <rPr>
        <vertAlign val="subscript"/>
        <sz val="10"/>
        <color indexed="10"/>
        <rFont val="Arial"/>
        <family val="2"/>
      </rPr>
      <t>2</t>
    </r>
    <r>
      <rPr>
        <sz val="10"/>
        <color indexed="10"/>
        <rFont val="Arial"/>
        <family val="2"/>
      </rPr>
      <t xml:space="preserve"> = </t>
    </r>
  </si>
  <si>
    <r>
      <t>Z</t>
    </r>
    <r>
      <rPr>
        <vertAlign val="subscript"/>
        <sz val="10"/>
        <rFont val="Arial"/>
        <family val="2"/>
      </rPr>
      <t>L</t>
    </r>
  </si>
  <si>
    <r>
      <t>z</t>
    </r>
    <r>
      <rPr>
        <vertAlign val="subscript"/>
        <sz val="10"/>
        <color indexed="10"/>
        <rFont val="Arial"/>
        <family val="2"/>
      </rPr>
      <t>n1</t>
    </r>
    <r>
      <rPr>
        <sz val="10"/>
        <color indexed="10"/>
        <rFont val="Arial"/>
        <family val="2"/>
      </rPr>
      <t xml:space="preserve"> = </t>
    </r>
  </si>
  <si>
    <r>
      <t>Z</t>
    </r>
    <r>
      <rPr>
        <vertAlign val="subscript"/>
        <sz val="10"/>
        <rFont val="Arial"/>
        <family val="2"/>
      </rPr>
      <t>V</t>
    </r>
  </si>
  <si>
    <r>
      <t>z</t>
    </r>
    <r>
      <rPr>
        <vertAlign val="subscript"/>
        <sz val="10"/>
        <color indexed="10"/>
        <rFont val="Arial"/>
        <family val="2"/>
      </rPr>
      <t>n2</t>
    </r>
    <r>
      <rPr>
        <sz val="10"/>
        <color indexed="10"/>
        <rFont val="Arial"/>
        <family val="2"/>
      </rPr>
      <t xml:space="preserve"> = </t>
    </r>
  </si>
  <si>
    <r>
      <t>Z</t>
    </r>
    <r>
      <rPr>
        <vertAlign val="subscript"/>
        <sz val="10"/>
        <rFont val="Arial"/>
        <family val="2"/>
      </rPr>
      <t>R</t>
    </r>
  </si>
  <si>
    <r>
      <t>H</t>
    </r>
    <r>
      <rPr>
        <vertAlign val="subscript"/>
        <sz val="10"/>
        <color indexed="10"/>
        <rFont val="Arial"/>
        <family val="2"/>
      </rPr>
      <t>1</t>
    </r>
    <r>
      <rPr>
        <sz val="10"/>
        <color indexed="10"/>
        <rFont val="Arial"/>
        <family val="2"/>
      </rPr>
      <t xml:space="preserve"> = </t>
    </r>
  </si>
  <si>
    <r>
      <t>Z</t>
    </r>
    <r>
      <rPr>
        <vertAlign val="subscript"/>
        <sz val="10"/>
        <rFont val="Arial"/>
        <family val="2"/>
      </rPr>
      <t xml:space="preserve">W  </t>
    </r>
  </si>
  <si>
    <r>
      <t>H</t>
    </r>
    <r>
      <rPr>
        <vertAlign val="subscript"/>
        <sz val="10"/>
        <color indexed="10"/>
        <rFont val="Arial"/>
        <family val="2"/>
      </rPr>
      <t>2</t>
    </r>
    <r>
      <rPr>
        <sz val="10"/>
        <color indexed="10"/>
        <rFont val="Arial"/>
        <family val="2"/>
      </rPr>
      <t xml:space="preserve"> = </t>
    </r>
  </si>
  <si>
    <r>
      <t>Z</t>
    </r>
    <r>
      <rPr>
        <vertAlign val="subscript"/>
        <sz val="10"/>
        <rFont val="Arial"/>
        <family val="2"/>
      </rPr>
      <t>X</t>
    </r>
    <r>
      <rPr>
        <sz val="10"/>
        <rFont val="Arial"/>
        <family val="2"/>
      </rPr>
      <t xml:space="preserve"> </t>
    </r>
  </si>
  <si>
    <r>
      <t>S</t>
    </r>
    <r>
      <rPr>
        <vertAlign val="subscript"/>
        <sz val="10"/>
        <rFont val="Arial"/>
        <family val="2"/>
      </rPr>
      <t>Fger</t>
    </r>
  </si>
  <si>
    <r>
      <t>S</t>
    </r>
    <r>
      <rPr>
        <vertAlign val="subscript"/>
        <sz val="10"/>
        <rFont val="Arial"/>
        <family val="2"/>
      </rPr>
      <t>Hger</t>
    </r>
  </si>
  <si>
    <r>
      <t>Y</t>
    </r>
    <r>
      <rPr>
        <vertAlign val="subscript"/>
        <sz val="12"/>
        <rFont val="Arial"/>
        <family val="2"/>
      </rPr>
      <t>Fa1</t>
    </r>
  </si>
  <si>
    <r>
      <t>Y</t>
    </r>
    <r>
      <rPr>
        <vertAlign val="subscript"/>
        <sz val="12"/>
        <color indexed="10"/>
        <rFont val="Arial"/>
        <family val="2"/>
      </rPr>
      <t>Fa1</t>
    </r>
    <r>
      <rPr>
        <sz val="12"/>
        <color indexed="10"/>
        <rFont val="Arial"/>
        <family val="2"/>
      </rPr>
      <t xml:space="preserve"> =</t>
    </r>
  </si>
  <si>
    <r>
      <t>Y</t>
    </r>
    <r>
      <rPr>
        <vertAlign val="subscript"/>
        <sz val="12"/>
        <color indexed="10"/>
        <rFont val="Arial"/>
        <family val="2"/>
      </rPr>
      <t>Fa2</t>
    </r>
    <r>
      <rPr>
        <sz val="12"/>
        <color indexed="10"/>
        <rFont val="Arial"/>
        <family val="2"/>
      </rPr>
      <t xml:space="preserve"> =</t>
    </r>
  </si>
  <si>
    <r>
      <t>h</t>
    </r>
    <r>
      <rPr>
        <vertAlign val="subscript"/>
        <sz val="12"/>
        <color indexed="10"/>
        <rFont val="Arial"/>
        <family val="2"/>
      </rPr>
      <t>Fa1</t>
    </r>
    <r>
      <rPr>
        <sz val="12"/>
        <color indexed="10"/>
        <rFont val="Arial"/>
        <family val="2"/>
      </rPr>
      <t>/m</t>
    </r>
    <r>
      <rPr>
        <vertAlign val="subscript"/>
        <sz val="12"/>
        <color indexed="10"/>
        <rFont val="Arial"/>
        <family val="2"/>
      </rPr>
      <t>n</t>
    </r>
    <r>
      <rPr>
        <sz val="12"/>
        <color indexed="10"/>
        <rFont val="Arial"/>
        <family val="2"/>
      </rPr>
      <t xml:space="preserve"> =</t>
    </r>
  </si>
  <si>
    <r>
      <t>h</t>
    </r>
    <r>
      <rPr>
        <vertAlign val="subscript"/>
        <sz val="12"/>
        <color indexed="10"/>
        <rFont val="Arial"/>
        <family val="2"/>
      </rPr>
      <t>Fa2</t>
    </r>
    <r>
      <rPr>
        <sz val="12"/>
        <color indexed="10"/>
        <rFont val="Arial"/>
        <family val="2"/>
      </rPr>
      <t>/m</t>
    </r>
    <r>
      <rPr>
        <vertAlign val="subscript"/>
        <sz val="12"/>
        <color indexed="10"/>
        <rFont val="Arial"/>
        <family val="2"/>
      </rPr>
      <t>n</t>
    </r>
    <r>
      <rPr>
        <sz val="12"/>
        <color indexed="10"/>
        <rFont val="Arial"/>
        <family val="2"/>
      </rPr>
      <t xml:space="preserve"> =</t>
    </r>
  </si>
  <si>
    <r>
      <t>cosa</t>
    </r>
    <r>
      <rPr>
        <vertAlign val="subscript"/>
        <sz val="12"/>
        <color indexed="10"/>
        <rFont val="Arial"/>
        <family val="2"/>
      </rPr>
      <t>Fan1</t>
    </r>
    <r>
      <rPr>
        <sz val="12"/>
        <color indexed="10"/>
        <rFont val="Arial"/>
        <family val="2"/>
      </rPr>
      <t xml:space="preserve"> =</t>
    </r>
  </si>
  <si>
    <r>
      <t>cosa</t>
    </r>
    <r>
      <rPr>
        <vertAlign val="subscript"/>
        <sz val="12"/>
        <color indexed="10"/>
        <rFont val="Arial"/>
        <family val="2"/>
      </rPr>
      <t>Fan2</t>
    </r>
    <r>
      <rPr>
        <sz val="12"/>
        <color indexed="10"/>
        <rFont val="Arial"/>
        <family val="2"/>
      </rPr>
      <t xml:space="preserve"> =</t>
    </r>
  </si>
  <si>
    <r>
      <t>S</t>
    </r>
    <r>
      <rPr>
        <vertAlign val="subscript"/>
        <sz val="12"/>
        <color indexed="10"/>
        <rFont val="Arial"/>
        <family val="2"/>
      </rPr>
      <t>Fa1</t>
    </r>
    <r>
      <rPr>
        <sz val="12"/>
        <color indexed="10"/>
        <rFont val="Arial"/>
        <family val="2"/>
      </rPr>
      <t>/m</t>
    </r>
    <r>
      <rPr>
        <vertAlign val="subscript"/>
        <sz val="12"/>
        <color indexed="10"/>
        <rFont val="Arial"/>
        <family val="2"/>
      </rPr>
      <t>n</t>
    </r>
    <r>
      <rPr>
        <sz val="12"/>
        <color indexed="10"/>
        <rFont val="Arial"/>
        <family val="2"/>
      </rPr>
      <t xml:space="preserve"> =</t>
    </r>
  </si>
  <si>
    <r>
      <t>S</t>
    </r>
    <r>
      <rPr>
        <vertAlign val="subscript"/>
        <sz val="12"/>
        <color indexed="10"/>
        <rFont val="Arial"/>
        <family val="2"/>
      </rPr>
      <t>Fa2</t>
    </r>
    <r>
      <rPr>
        <sz val="12"/>
        <color indexed="10"/>
        <rFont val="Arial"/>
        <family val="2"/>
      </rPr>
      <t>/m</t>
    </r>
    <r>
      <rPr>
        <vertAlign val="subscript"/>
        <sz val="12"/>
        <color indexed="10"/>
        <rFont val="Arial"/>
        <family val="2"/>
      </rPr>
      <t>n</t>
    </r>
    <r>
      <rPr>
        <sz val="12"/>
        <color indexed="10"/>
        <rFont val="Arial"/>
        <family val="2"/>
      </rPr>
      <t xml:space="preserve"> =</t>
    </r>
  </si>
  <si>
    <r>
      <t>cos a</t>
    </r>
    <r>
      <rPr>
        <vertAlign val="subscript"/>
        <sz val="12"/>
        <color indexed="10"/>
        <rFont val="Arial"/>
        <family val="2"/>
      </rPr>
      <t>n</t>
    </r>
    <r>
      <rPr>
        <sz val="12"/>
        <color indexed="10"/>
        <rFont val="Arial"/>
        <family val="2"/>
      </rPr>
      <t xml:space="preserve"> =</t>
    </r>
  </si>
  <si>
    <r>
      <t>G</t>
    </r>
    <r>
      <rPr>
        <vertAlign val="subscript"/>
        <sz val="12"/>
        <color indexed="10"/>
        <rFont val="Arial"/>
        <family val="2"/>
      </rPr>
      <t>1</t>
    </r>
    <r>
      <rPr>
        <sz val="12"/>
        <color indexed="10"/>
        <rFont val="Arial"/>
        <family val="2"/>
      </rPr>
      <t xml:space="preserve"> = </t>
    </r>
  </si>
  <si>
    <r>
      <t>G</t>
    </r>
    <r>
      <rPr>
        <vertAlign val="subscript"/>
        <sz val="12"/>
        <color indexed="10"/>
        <rFont val="Arial"/>
        <family val="2"/>
      </rPr>
      <t>2</t>
    </r>
    <r>
      <rPr>
        <sz val="12"/>
        <color indexed="10"/>
        <rFont val="Arial"/>
        <family val="2"/>
      </rPr>
      <t xml:space="preserve"> = </t>
    </r>
  </si>
  <si>
    <r>
      <t>J</t>
    </r>
    <r>
      <rPr>
        <vertAlign val="subscript"/>
        <sz val="12"/>
        <rFont val="Arial"/>
        <family val="2"/>
      </rPr>
      <t>1</t>
    </r>
    <r>
      <rPr>
        <sz val="12"/>
        <rFont val="Arial"/>
        <family val="2"/>
      </rPr>
      <t xml:space="preserve"> =</t>
    </r>
  </si>
  <si>
    <r>
      <t>J</t>
    </r>
    <r>
      <rPr>
        <vertAlign val="subscript"/>
        <sz val="12"/>
        <rFont val="Arial"/>
        <family val="2"/>
      </rPr>
      <t>2</t>
    </r>
    <r>
      <rPr>
        <sz val="12"/>
        <rFont val="Arial"/>
        <family val="2"/>
      </rPr>
      <t xml:space="preserve"> =</t>
    </r>
  </si>
  <si>
    <r>
      <t>r</t>
    </r>
    <r>
      <rPr>
        <vertAlign val="subscript"/>
        <sz val="12"/>
        <rFont val="Arial"/>
        <family val="2"/>
      </rPr>
      <t>a0</t>
    </r>
    <r>
      <rPr>
        <sz val="12"/>
        <rFont val="Arial"/>
        <family val="2"/>
      </rPr>
      <t xml:space="preserve"> =</t>
    </r>
  </si>
  <si>
    <r>
      <t>z</t>
    </r>
    <r>
      <rPr>
        <vertAlign val="subscript"/>
        <sz val="12"/>
        <color indexed="10"/>
        <rFont val="Arial"/>
        <family val="2"/>
      </rPr>
      <t>n1</t>
    </r>
    <r>
      <rPr>
        <sz val="12"/>
        <color indexed="10"/>
        <rFont val="Arial"/>
        <family val="2"/>
      </rPr>
      <t xml:space="preserve"> =</t>
    </r>
  </si>
  <si>
    <r>
      <t>z</t>
    </r>
    <r>
      <rPr>
        <vertAlign val="subscript"/>
        <sz val="12"/>
        <color indexed="10"/>
        <rFont val="Arial"/>
        <family val="2"/>
      </rPr>
      <t>n2</t>
    </r>
    <r>
      <rPr>
        <sz val="12"/>
        <color indexed="10"/>
        <rFont val="Arial"/>
        <family val="2"/>
      </rPr>
      <t xml:space="preserve"> =</t>
    </r>
  </si>
  <si>
    <r>
      <t>m</t>
    </r>
    <r>
      <rPr>
        <vertAlign val="subscript"/>
        <sz val="12"/>
        <rFont val="Arial"/>
        <family val="2"/>
      </rPr>
      <t>n</t>
    </r>
    <r>
      <rPr>
        <sz val="12"/>
        <rFont val="Arial"/>
        <family val="2"/>
      </rPr>
      <t xml:space="preserve"> =</t>
    </r>
  </si>
  <si>
    <r>
      <t>a</t>
    </r>
    <r>
      <rPr>
        <vertAlign val="subscript"/>
        <sz val="12"/>
        <color indexed="10"/>
        <rFont val="Arial"/>
        <family val="2"/>
      </rPr>
      <t>Fan1</t>
    </r>
    <r>
      <rPr>
        <sz val="12"/>
        <color indexed="10"/>
        <rFont val="Arial"/>
        <family val="2"/>
      </rPr>
      <t xml:space="preserve"> =</t>
    </r>
  </si>
  <si>
    <r>
      <t>a</t>
    </r>
    <r>
      <rPr>
        <vertAlign val="subscript"/>
        <sz val="12"/>
        <color indexed="10"/>
        <rFont val="Arial"/>
        <family val="2"/>
      </rPr>
      <t>Fan2</t>
    </r>
    <r>
      <rPr>
        <sz val="12"/>
        <color indexed="10"/>
        <rFont val="Arial"/>
        <family val="2"/>
      </rPr>
      <t xml:space="preserve"> =</t>
    </r>
  </si>
  <si>
    <r>
      <t>a</t>
    </r>
    <r>
      <rPr>
        <vertAlign val="subscript"/>
        <sz val="12"/>
        <rFont val="Arial"/>
        <family val="2"/>
      </rPr>
      <t>an1</t>
    </r>
    <r>
      <rPr>
        <sz val="12"/>
        <rFont val="Arial"/>
        <family val="2"/>
      </rPr>
      <t xml:space="preserve"> =</t>
    </r>
  </si>
  <si>
    <r>
      <t>a</t>
    </r>
    <r>
      <rPr>
        <vertAlign val="subscript"/>
        <sz val="12"/>
        <rFont val="Arial"/>
        <family val="2"/>
      </rPr>
      <t>an2</t>
    </r>
    <r>
      <rPr>
        <sz val="12"/>
        <rFont val="Arial"/>
        <family val="2"/>
      </rPr>
      <t xml:space="preserve"> =</t>
    </r>
  </si>
  <si>
    <r>
      <t>d</t>
    </r>
    <r>
      <rPr>
        <vertAlign val="subscript"/>
        <sz val="12"/>
        <rFont val="Arial"/>
        <family val="2"/>
      </rPr>
      <t>bn1</t>
    </r>
    <r>
      <rPr>
        <sz val="12"/>
        <rFont val="Arial"/>
        <family val="2"/>
      </rPr>
      <t xml:space="preserve"> =</t>
    </r>
  </si>
  <si>
    <r>
      <t>d</t>
    </r>
    <r>
      <rPr>
        <vertAlign val="subscript"/>
        <sz val="12"/>
        <rFont val="Arial"/>
        <family val="2"/>
      </rPr>
      <t>bn2</t>
    </r>
    <r>
      <rPr>
        <sz val="12"/>
        <rFont val="Arial"/>
        <family val="2"/>
      </rPr>
      <t xml:space="preserve"> =</t>
    </r>
  </si>
  <si>
    <r>
      <t>d</t>
    </r>
    <r>
      <rPr>
        <vertAlign val="subscript"/>
        <sz val="12"/>
        <rFont val="Arial"/>
        <family val="2"/>
      </rPr>
      <t>an1</t>
    </r>
    <r>
      <rPr>
        <sz val="12"/>
        <rFont val="Arial"/>
        <family val="2"/>
      </rPr>
      <t xml:space="preserve"> =</t>
    </r>
  </si>
  <si>
    <r>
      <t>d</t>
    </r>
    <r>
      <rPr>
        <vertAlign val="subscript"/>
        <sz val="12"/>
        <rFont val="Arial"/>
        <family val="2"/>
      </rPr>
      <t>an2</t>
    </r>
    <r>
      <rPr>
        <sz val="12"/>
        <rFont val="Arial"/>
        <family val="2"/>
      </rPr>
      <t xml:space="preserve"> =</t>
    </r>
  </si>
  <si>
    <r>
      <t>tan a</t>
    </r>
    <r>
      <rPr>
        <vertAlign val="subscript"/>
        <sz val="12"/>
        <rFont val="Arial"/>
        <family val="2"/>
      </rPr>
      <t>n</t>
    </r>
    <r>
      <rPr>
        <sz val="12"/>
        <rFont val="Arial"/>
        <family val="2"/>
      </rPr>
      <t xml:space="preserve"> =</t>
    </r>
  </si>
  <si>
    <r>
      <t>d</t>
    </r>
    <r>
      <rPr>
        <vertAlign val="subscript"/>
        <sz val="12"/>
        <rFont val="Arial"/>
        <family val="2"/>
      </rPr>
      <t>n1</t>
    </r>
    <r>
      <rPr>
        <sz val="12"/>
        <rFont val="Arial"/>
        <family val="2"/>
      </rPr>
      <t xml:space="preserve"> =</t>
    </r>
  </si>
  <si>
    <r>
      <t>d</t>
    </r>
    <r>
      <rPr>
        <vertAlign val="subscript"/>
        <sz val="12"/>
        <rFont val="Arial"/>
        <family val="2"/>
      </rPr>
      <t>n2</t>
    </r>
    <r>
      <rPr>
        <sz val="12"/>
        <rFont val="Arial"/>
        <family val="2"/>
      </rPr>
      <t xml:space="preserve"> =</t>
    </r>
  </si>
  <si>
    <r>
      <t>d</t>
    </r>
    <r>
      <rPr>
        <vertAlign val="subscript"/>
        <sz val="12"/>
        <rFont val="Arial"/>
        <family val="2"/>
      </rPr>
      <t>1</t>
    </r>
    <r>
      <rPr>
        <sz val="12"/>
        <rFont val="Arial"/>
        <family val="2"/>
      </rPr>
      <t xml:space="preserve"> =</t>
    </r>
  </si>
  <si>
    <r>
      <t>x</t>
    </r>
    <r>
      <rPr>
        <vertAlign val="subscript"/>
        <sz val="12"/>
        <rFont val="Arial"/>
        <family val="2"/>
      </rPr>
      <t>1</t>
    </r>
    <r>
      <rPr>
        <sz val="12"/>
        <rFont val="Arial"/>
        <family val="2"/>
      </rPr>
      <t xml:space="preserve"> =</t>
    </r>
  </si>
  <si>
    <r>
      <t>x</t>
    </r>
    <r>
      <rPr>
        <vertAlign val="subscript"/>
        <sz val="12"/>
        <rFont val="Arial"/>
        <family val="2"/>
      </rPr>
      <t>2</t>
    </r>
    <r>
      <rPr>
        <sz val="12"/>
        <rFont val="Arial"/>
        <family val="2"/>
      </rPr>
      <t xml:space="preserve"> =</t>
    </r>
  </si>
  <si>
    <r>
      <t>g</t>
    </r>
    <r>
      <rPr>
        <vertAlign val="subscript"/>
        <sz val="12"/>
        <rFont val="Arial"/>
        <family val="2"/>
      </rPr>
      <t>a1</t>
    </r>
    <r>
      <rPr>
        <sz val="12"/>
        <rFont val="Arial"/>
        <family val="2"/>
      </rPr>
      <t xml:space="preserve"> =</t>
    </r>
  </si>
  <si>
    <r>
      <t>g</t>
    </r>
    <r>
      <rPr>
        <vertAlign val="subscript"/>
        <sz val="12"/>
        <rFont val="Arial"/>
        <family val="2"/>
      </rPr>
      <t>a2</t>
    </r>
    <r>
      <rPr>
        <sz val="12"/>
        <rFont val="Arial"/>
        <family val="2"/>
      </rPr>
      <t xml:space="preserve"> =</t>
    </r>
  </si>
  <si>
    <r>
      <t>inv a</t>
    </r>
    <r>
      <rPr>
        <vertAlign val="subscript"/>
        <sz val="12"/>
        <rFont val="Arial"/>
        <family val="2"/>
      </rPr>
      <t>n</t>
    </r>
    <r>
      <rPr>
        <sz val="12"/>
        <rFont val="Arial"/>
        <family val="2"/>
      </rPr>
      <t xml:space="preserve"> =</t>
    </r>
  </si>
  <si>
    <r>
      <t>inv a</t>
    </r>
    <r>
      <rPr>
        <vertAlign val="subscript"/>
        <sz val="12"/>
        <rFont val="Arial"/>
        <family val="2"/>
      </rPr>
      <t>an1</t>
    </r>
    <r>
      <rPr>
        <sz val="12"/>
        <rFont val="Arial"/>
        <family val="2"/>
      </rPr>
      <t xml:space="preserve"> =</t>
    </r>
  </si>
  <si>
    <r>
      <t>inv a</t>
    </r>
    <r>
      <rPr>
        <vertAlign val="subscript"/>
        <sz val="12"/>
        <rFont val="Arial"/>
        <family val="2"/>
      </rPr>
      <t>an2</t>
    </r>
    <r>
      <rPr>
        <sz val="12"/>
        <rFont val="Arial"/>
        <family val="2"/>
      </rPr>
      <t xml:space="preserve"> =</t>
    </r>
  </si>
  <si>
    <r>
      <t>F</t>
    </r>
    <r>
      <rPr>
        <vertAlign val="subscript"/>
        <sz val="12"/>
        <rFont val="Arial"/>
        <family val="2"/>
      </rPr>
      <t>t</t>
    </r>
    <r>
      <rPr>
        <sz val="12"/>
        <rFont val="Arial"/>
        <family val="2"/>
      </rPr>
      <t xml:space="preserve"> =</t>
    </r>
  </si>
  <si>
    <t>b =</t>
  </si>
  <si>
    <r>
      <t>F</t>
    </r>
    <r>
      <rPr>
        <vertAlign val="subscript"/>
        <sz val="12"/>
        <rFont val="Arial"/>
        <family val="2"/>
      </rPr>
      <t>or</t>
    </r>
    <r>
      <rPr>
        <sz val="12"/>
        <rFont val="Arial"/>
        <family val="2"/>
      </rPr>
      <t xml:space="preserve"> =</t>
    </r>
  </si>
  <si>
    <r>
      <t>K</t>
    </r>
    <r>
      <rPr>
        <vertAlign val="subscript"/>
        <sz val="12"/>
        <color indexed="10"/>
        <rFont val="Arial"/>
        <family val="2"/>
      </rPr>
      <t>H</t>
    </r>
    <r>
      <rPr>
        <vertAlign val="subscript"/>
        <sz val="12"/>
        <color indexed="10"/>
        <rFont val="Symbol"/>
        <family val="1"/>
      </rPr>
      <t>b</t>
    </r>
    <r>
      <rPr>
        <sz val="12"/>
        <color indexed="10"/>
        <rFont val="Arial"/>
        <family val="2"/>
      </rPr>
      <t xml:space="preserve"> =</t>
    </r>
  </si>
  <si>
    <r>
      <t>K</t>
    </r>
    <r>
      <rPr>
        <vertAlign val="subscript"/>
        <sz val="12"/>
        <rFont val="Arial"/>
        <family val="2"/>
      </rPr>
      <t>H</t>
    </r>
    <r>
      <rPr>
        <vertAlign val="subscript"/>
        <sz val="12"/>
        <rFont val="Symbol"/>
        <family val="1"/>
      </rPr>
      <t>b</t>
    </r>
    <r>
      <rPr>
        <sz val="12"/>
        <rFont val="Arial"/>
        <family val="2"/>
      </rPr>
      <t xml:space="preserve"> &gt; 2</t>
    </r>
  </si>
  <si>
    <r>
      <t>K</t>
    </r>
    <r>
      <rPr>
        <b/>
        <vertAlign val="subscript"/>
        <sz val="12"/>
        <rFont val="Arial"/>
        <family val="2"/>
      </rPr>
      <t>H</t>
    </r>
    <r>
      <rPr>
        <b/>
        <vertAlign val="subscript"/>
        <sz val="12"/>
        <rFont val="Symbol"/>
        <family val="1"/>
      </rPr>
      <t>b</t>
    </r>
    <r>
      <rPr>
        <b/>
        <vertAlign val="subscript"/>
        <sz val="12"/>
        <rFont val="Arial"/>
        <family val="2"/>
      </rPr>
      <t>2</t>
    </r>
    <r>
      <rPr>
        <b/>
        <sz val="12"/>
        <rFont val="Arial"/>
        <family val="2"/>
      </rPr>
      <t xml:space="preserve"> =</t>
    </r>
  </si>
  <si>
    <r>
      <t>K</t>
    </r>
    <r>
      <rPr>
        <vertAlign val="subscript"/>
        <sz val="12"/>
        <rFont val="Arial"/>
        <family val="2"/>
      </rPr>
      <t>H</t>
    </r>
    <r>
      <rPr>
        <vertAlign val="subscript"/>
        <sz val="12"/>
        <rFont val="Symbol"/>
        <family val="1"/>
      </rPr>
      <t>b</t>
    </r>
    <r>
      <rPr>
        <sz val="12"/>
        <rFont val="Arial"/>
        <family val="2"/>
      </rPr>
      <t xml:space="preserve"> &lt; 2</t>
    </r>
  </si>
  <si>
    <r>
      <t>F</t>
    </r>
    <r>
      <rPr>
        <vertAlign val="subscript"/>
        <sz val="12"/>
        <rFont val="Symbol"/>
        <family val="1"/>
      </rPr>
      <t>b</t>
    </r>
    <r>
      <rPr>
        <vertAlign val="subscript"/>
        <sz val="12"/>
        <rFont val="Arial"/>
        <family val="2"/>
      </rPr>
      <t>y1</t>
    </r>
    <r>
      <rPr>
        <sz val="12"/>
        <rFont val="Arial"/>
        <family val="2"/>
      </rPr>
      <t xml:space="preserve"> =</t>
    </r>
  </si>
  <si>
    <r>
      <t>K</t>
    </r>
    <r>
      <rPr>
        <b/>
        <vertAlign val="subscript"/>
        <sz val="12"/>
        <rFont val="Arial"/>
        <family val="2"/>
      </rPr>
      <t>H</t>
    </r>
    <r>
      <rPr>
        <b/>
        <vertAlign val="subscript"/>
        <sz val="12"/>
        <rFont val="Symbol"/>
        <family val="1"/>
      </rPr>
      <t>b</t>
    </r>
    <r>
      <rPr>
        <b/>
        <vertAlign val="subscript"/>
        <sz val="12"/>
        <rFont val="Arial"/>
        <family val="2"/>
      </rPr>
      <t>1</t>
    </r>
    <r>
      <rPr>
        <b/>
        <sz val="12"/>
        <rFont val="Arial"/>
        <family val="2"/>
      </rPr>
      <t xml:space="preserve"> =</t>
    </r>
  </si>
  <si>
    <r>
      <t>K</t>
    </r>
    <r>
      <rPr>
        <vertAlign val="subscript"/>
        <sz val="12"/>
        <rFont val="Arial"/>
        <family val="2"/>
      </rPr>
      <t>IS</t>
    </r>
    <r>
      <rPr>
        <sz val="12"/>
        <rFont val="Arial"/>
        <family val="2"/>
      </rPr>
      <t xml:space="preserve"> =</t>
    </r>
  </si>
  <si>
    <r>
      <t>K</t>
    </r>
    <r>
      <rPr>
        <vertAlign val="subscript"/>
        <sz val="12"/>
        <color indexed="10"/>
        <rFont val="Arial"/>
        <family val="2"/>
      </rPr>
      <t>V</t>
    </r>
    <r>
      <rPr>
        <sz val="12"/>
        <color indexed="10"/>
        <rFont val="Arial"/>
        <family val="2"/>
      </rPr>
      <t xml:space="preserve"> =</t>
    </r>
  </si>
  <si>
    <r>
      <t>K</t>
    </r>
    <r>
      <rPr>
        <vertAlign val="subscript"/>
        <sz val="12"/>
        <rFont val="Arial"/>
        <family val="2"/>
      </rPr>
      <t>Va</t>
    </r>
    <r>
      <rPr>
        <sz val="12"/>
        <rFont val="Arial"/>
        <family val="2"/>
      </rPr>
      <t xml:space="preserve"> =</t>
    </r>
  </si>
  <si>
    <r>
      <t>K</t>
    </r>
    <r>
      <rPr>
        <vertAlign val="subscript"/>
        <sz val="12"/>
        <rFont val="Arial"/>
        <family val="2"/>
      </rPr>
      <t>Vb</t>
    </r>
    <r>
      <rPr>
        <sz val="12"/>
        <rFont val="Arial"/>
        <family val="2"/>
      </rPr>
      <t xml:space="preserve"> =</t>
    </r>
  </si>
  <si>
    <r>
      <t>b</t>
    </r>
    <r>
      <rPr>
        <sz val="12"/>
        <rFont val="Arial"/>
        <family val="2"/>
      </rPr>
      <t xml:space="preserve"> =</t>
    </r>
  </si>
  <si>
    <r>
      <t>K</t>
    </r>
    <r>
      <rPr>
        <vertAlign val="subscript"/>
        <sz val="12"/>
        <rFont val="Arial"/>
        <family val="2"/>
      </rPr>
      <t>4</t>
    </r>
    <r>
      <rPr>
        <sz val="12"/>
        <rFont val="Arial"/>
        <family val="2"/>
      </rPr>
      <t xml:space="preserve"> =</t>
    </r>
  </si>
  <si>
    <r>
      <t>v</t>
    </r>
    <r>
      <rPr>
        <vertAlign val="subscript"/>
        <sz val="12"/>
        <rFont val="Arial"/>
        <family val="2"/>
      </rPr>
      <t>1</t>
    </r>
    <r>
      <rPr>
        <sz val="12"/>
        <rFont val="Arial"/>
        <family val="2"/>
      </rPr>
      <t xml:space="preserve"> =</t>
    </r>
  </si>
  <si>
    <t>u =</t>
  </si>
  <si>
    <r>
      <t>K</t>
    </r>
    <r>
      <rPr>
        <vertAlign val="subscript"/>
        <sz val="12"/>
        <rFont val="Arial"/>
        <family val="2"/>
      </rPr>
      <t>1</t>
    </r>
    <r>
      <rPr>
        <sz val="12"/>
        <rFont val="Arial"/>
        <family val="2"/>
      </rPr>
      <t xml:space="preserve"> =</t>
    </r>
  </si>
  <si>
    <t>DIN e göre kalite</t>
  </si>
  <si>
    <r>
      <t>K</t>
    </r>
    <r>
      <rPr>
        <vertAlign val="subscript"/>
        <sz val="12"/>
        <rFont val="Arial"/>
        <family val="2"/>
      </rPr>
      <t>1</t>
    </r>
  </si>
  <si>
    <r>
      <t>q</t>
    </r>
    <r>
      <rPr>
        <vertAlign val="subscript"/>
        <sz val="12"/>
        <rFont val="Arial"/>
        <family val="2"/>
      </rPr>
      <t>H</t>
    </r>
    <r>
      <rPr>
        <sz val="12"/>
        <rFont val="Arial"/>
        <family val="2"/>
      </rPr>
      <t xml:space="preserve"> =</t>
    </r>
  </si>
  <si>
    <r>
      <t>q</t>
    </r>
    <r>
      <rPr>
        <vertAlign val="subscript"/>
        <sz val="12"/>
        <rFont val="Arial"/>
        <family val="2"/>
      </rPr>
      <t>H</t>
    </r>
  </si>
  <si>
    <r>
      <t>f</t>
    </r>
    <r>
      <rPr>
        <vertAlign val="subscript"/>
        <sz val="12"/>
        <rFont val="Arial"/>
        <family val="2"/>
      </rPr>
      <t>ma</t>
    </r>
    <r>
      <rPr>
        <sz val="12"/>
        <rFont val="Arial"/>
        <family val="2"/>
      </rPr>
      <t xml:space="preserve"> =</t>
    </r>
  </si>
  <si>
    <r>
      <t>4.16*b</t>
    </r>
    <r>
      <rPr>
        <vertAlign val="superscript"/>
        <sz val="12"/>
        <rFont val="Arial"/>
        <family val="2"/>
      </rPr>
      <t>0.14</t>
    </r>
    <r>
      <rPr>
        <sz val="12"/>
        <rFont val="Arial"/>
        <family val="2"/>
      </rPr>
      <t>*q</t>
    </r>
    <r>
      <rPr>
        <vertAlign val="subscript"/>
        <sz val="12"/>
        <rFont val="Arial"/>
        <family val="2"/>
      </rPr>
      <t>H</t>
    </r>
  </si>
  <si>
    <r>
      <t>F</t>
    </r>
    <r>
      <rPr>
        <vertAlign val="subscript"/>
        <sz val="12"/>
        <rFont val="Symbol"/>
        <family val="1"/>
      </rPr>
      <t>b</t>
    </r>
    <r>
      <rPr>
        <vertAlign val="subscript"/>
        <sz val="12"/>
        <rFont val="Arial"/>
        <family val="2"/>
      </rPr>
      <t>x</t>
    </r>
    <r>
      <rPr>
        <sz val="12"/>
        <rFont val="Arial"/>
        <family val="2"/>
      </rPr>
      <t xml:space="preserve"> =</t>
    </r>
  </si>
  <si>
    <r>
      <t>f</t>
    </r>
    <r>
      <rPr>
        <vertAlign val="subscript"/>
        <sz val="12"/>
        <rFont val="Arial"/>
        <family val="2"/>
      </rPr>
      <t>ma</t>
    </r>
    <r>
      <rPr>
        <sz val="12"/>
        <rFont val="Arial"/>
        <family val="2"/>
      </rPr>
      <t xml:space="preserve"> +1.33*f</t>
    </r>
    <r>
      <rPr>
        <vertAlign val="subscript"/>
        <sz val="12"/>
        <rFont val="Arial"/>
        <family val="2"/>
      </rPr>
      <t>sh</t>
    </r>
  </si>
  <si>
    <r>
      <t>f</t>
    </r>
    <r>
      <rPr>
        <vertAlign val="subscript"/>
        <sz val="12"/>
        <rFont val="Arial"/>
        <family val="2"/>
      </rPr>
      <t>sh</t>
    </r>
    <r>
      <rPr>
        <sz val="12"/>
        <rFont val="Arial"/>
        <family val="2"/>
      </rPr>
      <t xml:space="preserve"> =</t>
    </r>
  </si>
  <si>
    <r>
      <t>F</t>
    </r>
    <r>
      <rPr>
        <vertAlign val="subscript"/>
        <sz val="12"/>
        <rFont val="Symbol"/>
        <family val="1"/>
      </rPr>
      <t>b</t>
    </r>
    <r>
      <rPr>
        <vertAlign val="subscript"/>
        <sz val="12"/>
        <rFont val="Arial"/>
        <family val="2"/>
      </rPr>
      <t>y</t>
    </r>
    <r>
      <rPr>
        <sz val="12"/>
        <rFont val="Arial"/>
        <family val="2"/>
      </rPr>
      <t xml:space="preserve"> =</t>
    </r>
  </si>
  <si>
    <r>
      <t>F</t>
    </r>
    <r>
      <rPr>
        <vertAlign val="subscript"/>
        <sz val="12"/>
        <rFont val="Arial"/>
        <family val="2"/>
      </rPr>
      <t>bx</t>
    </r>
    <r>
      <rPr>
        <sz val="12"/>
        <rFont val="Arial"/>
        <family val="2"/>
      </rPr>
      <t xml:space="preserve"> - y</t>
    </r>
    <r>
      <rPr>
        <vertAlign val="subscript"/>
        <sz val="12"/>
        <rFont val="Arial"/>
        <family val="2"/>
      </rPr>
      <t>b</t>
    </r>
  </si>
  <si>
    <t>yb1 =</t>
  </si>
  <si>
    <t>yb2 =</t>
  </si>
  <si>
    <r>
      <t>f</t>
    </r>
    <r>
      <rPr>
        <vertAlign val="subscript"/>
        <sz val="12"/>
        <rFont val="Arial"/>
        <family val="2"/>
      </rPr>
      <t>sh</t>
    </r>
    <r>
      <rPr>
        <sz val="12"/>
        <rFont val="Arial"/>
        <family val="2"/>
      </rPr>
      <t xml:space="preserve"> </t>
    </r>
  </si>
  <si>
    <t>degeri tablosu</t>
  </si>
  <si>
    <r>
      <t>F</t>
    </r>
    <r>
      <rPr>
        <vertAlign val="subscript"/>
        <sz val="12"/>
        <rFont val="Arial"/>
        <family val="2"/>
      </rPr>
      <t>t</t>
    </r>
    <r>
      <rPr>
        <sz val="12"/>
        <rFont val="Arial"/>
        <family val="2"/>
      </rPr>
      <t xml:space="preserve"> / b =</t>
    </r>
  </si>
  <si>
    <t>Değen diş genişliği b [mm]</t>
  </si>
  <si>
    <t>... 20</t>
  </si>
  <si>
    <t xml:space="preserve">  &gt;20</t>
  </si>
  <si>
    <t xml:space="preserve">  &gt; 40</t>
  </si>
  <si>
    <t xml:space="preserve">  &gt; 100</t>
  </si>
  <si>
    <t xml:space="preserve">  &gt; 260</t>
  </si>
  <si>
    <t xml:space="preserve">  &gt; 315</t>
  </si>
  <si>
    <t>&gt; 560</t>
  </si>
  <si>
    <t>...  40</t>
  </si>
  <si>
    <t>... 100</t>
  </si>
  <si>
    <t>...  260</t>
  </si>
  <si>
    <t>...  315</t>
  </si>
  <si>
    <t>...  560</t>
  </si>
  <si>
    <t>Çok rijid kasalı redüktör, 
Ft / b &lt; 200 N/mm</t>
  </si>
  <si>
    <t>6,5</t>
  </si>
  <si>
    <t>Rijid kasalı redüktör, 
Ft / b &lt; 200-1000 N/mm</t>
  </si>
  <si>
    <t>Esnek kasalı redüktör, 
Ft / b &gt; 1000 N/mm</t>
  </si>
  <si>
    <r>
      <t>Alışma değeri  y</t>
    </r>
    <r>
      <rPr>
        <vertAlign val="subscript"/>
        <sz val="12"/>
        <rFont val="Arial"/>
        <family val="2"/>
      </rPr>
      <t>b</t>
    </r>
    <r>
      <rPr>
        <sz val="12"/>
        <rFont val="Arial"/>
        <family val="2"/>
      </rPr>
      <t xml:space="preserve"> [mm]</t>
    </r>
  </si>
  <si>
    <t>Çevre hızı  v  [m/s]</t>
  </si>
  <si>
    <t>&lt; 5</t>
  </si>
  <si>
    <t>5&lt; v &lt;10</t>
  </si>
  <si>
    <t>10 &lt;</t>
  </si>
  <si>
    <r>
      <t>F</t>
    </r>
    <r>
      <rPr>
        <vertAlign val="subscript"/>
        <sz val="12"/>
        <rFont val="Arial"/>
        <family val="2"/>
      </rPr>
      <t>bx</t>
    </r>
    <r>
      <rPr>
        <sz val="12"/>
        <rFont val="Arial"/>
        <family val="2"/>
      </rPr>
      <t xml:space="preserve"> </t>
    </r>
  </si>
  <si>
    <t>v =</t>
  </si>
  <si>
    <r>
      <t>y</t>
    </r>
    <r>
      <rPr>
        <vertAlign val="subscript"/>
        <sz val="12"/>
        <rFont val="Arial"/>
        <family val="2"/>
      </rPr>
      <t>b</t>
    </r>
    <r>
      <rPr>
        <sz val="12"/>
        <rFont val="Arial"/>
        <family val="2"/>
      </rPr>
      <t xml:space="preserve"> = 0,800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</si>
  <si>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color indexed="10"/>
        <rFont val="Arial"/>
        <family val="2"/>
      </rPr>
      <t xml:space="preserve">b1 </t>
    </r>
    <r>
      <rPr>
        <sz val="12"/>
        <color indexed="10"/>
        <rFont val="Arial"/>
        <family val="2"/>
      </rPr>
      <t>=</t>
    </r>
  </si>
  <si>
    <r>
      <t>y</t>
    </r>
    <r>
      <rPr>
        <vertAlign val="subscript"/>
        <sz val="12"/>
        <rFont val="Arial"/>
        <family val="2"/>
      </rPr>
      <t>b</t>
    </r>
    <r>
      <rPr>
        <sz val="12"/>
        <rFont val="Arial"/>
        <family val="2"/>
      </rPr>
      <t xml:space="preserve"> = 0,550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</si>
  <si>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color indexed="10"/>
        <rFont val="Arial"/>
        <family val="2"/>
      </rPr>
      <t xml:space="preserve">b2 </t>
    </r>
    <r>
      <rPr>
        <sz val="12"/>
        <color indexed="10"/>
        <rFont val="Arial"/>
        <family val="2"/>
      </rPr>
      <t>=</t>
    </r>
  </si>
  <si>
    <r>
      <t>y</t>
    </r>
    <r>
      <rPr>
        <vertAlign val="subscript"/>
        <sz val="12"/>
        <rFont val="Arial"/>
        <family val="2"/>
      </rPr>
      <t>b</t>
    </r>
    <r>
      <rPr>
        <sz val="12"/>
        <rFont val="Arial"/>
        <family val="2"/>
      </rPr>
      <t xml:space="preserve"> = 0,534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</si>
  <si>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0,400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</si>
  <si>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0,320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</si>
  <si>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0,265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</si>
  <si>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0,150 F</t>
    </r>
    <r>
      <rPr>
        <vertAlign val="subscript"/>
        <sz val="12"/>
        <rFont val="Arial"/>
        <family val="2"/>
      </rPr>
      <t>bx</t>
    </r>
    <r>
      <rPr>
        <sz val="12"/>
        <rFont val="Arial"/>
        <family val="2"/>
      </rPr>
      <t xml:space="preserve"> &lt; y</t>
    </r>
    <r>
      <rPr>
        <vertAlign val="subscript"/>
        <sz val="12"/>
        <rFont val="Arial"/>
        <family val="2"/>
      </rPr>
      <t>bmax</t>
    </r>
  </si>
  <si>
    <r>
      <t>K</t>
    </r>
    <r>
      <rPr>
        <vertAlign val="subscript"/>
        <sz val="12"/>
        <rFont val="Arial"/>
        <family val="2"/>
      </rPr>
      <t>H</t>
    </r>
    <r>
      <rPr>
        <vertAlign val="subscript"/>
        <sz val="12"/>
        <rFont val="Symbol"/>
        <family val="1"/>
      </rPr>
      <t>b</t>
    </r>
    <r>
      <rPr>
        <sz val="12"/>
        <rFont val="Arial"/>
        <family val="2"/>
      </rPr>
      <t xml:space="preserve"> =</t>
    </r>
  </si>
  <si>
    <t>N =</t>
  </si>
  <si>
    <r>
      <t>K</t>
    </r>
    <r>
      <rPr>
        <vertAlign val="subscript"/>
        <sz val="12"/>
        <color indexed="10"/>
        <rFont val="Arial"/>
        <family val="2"/>
      </rPr>
      <t>F</t>
    </r>
    <r>
      <rPr>
        <vertAlign val="subscript"/>
        <sz val="12"/>
        <color indexed="10"/>
        <rFont val="Symbol"/>
        <family val="1"/>
      </rPr>
      <t>b</t>
    </r>
    <r>
      <rPr>
        <vertAlign val="subscript"/>
        <sz val="12"/>
        <color indexed="10"/>
        <rFont val="Arial"/>
        <family val="2"/>
      </rPr>
      <t>1</t>
    </r>
    <r>
      <rPr>
        <sz val="12"/>
        <color indexed="10"/>
        <rFont val="Arial"/>
        <family val="2"/>
      </rPr>
      <t xml:space="preserve"> =</t>
    </r>
  </si>
  <si>
    <t xml:space="preserve">b = </t>
  </si>
  <si>
    <t>h =</t>
  </si>
  <si>
    <t>b/h =</t>
  </si>
  <si>
    <r>
      <t>K</t>
    </r>
    <r>
      <rPr>
        <vertAlign val="subscript"/>
        <sz val="12"/>
        <color indexed="10"/>
        <rFont val="Arial"/>
        <family val="2"/>
      </rPr>
      <t>F</t>
    </r>
    <r>
      <rPr>
        <vertAlign val="subscript"/>
        <sz val="12"/>
        <color indexed="10"/>
        <rFont val="Symbol"/>
        <family val="1"/>
      </rPr>
      <t>b</t>
    </r>
    <r>
      <rPr>
        <vertAlign val="subscript"/>
        <sz val="12"/>
        <color indexed="10"/>
        <rFont val="Arial"/>
        <family val="2"/>
      </rPr>
      <t>2</t>
    </r>
    <r>
      <rPr>
        <sz val="12"/>
        <color indexed="10"/>
        <rFont val="Arial"/>
        <family val="2"/>
      </rPr>
      <t xml:space="preserve"> =</t>
    </r>
  </si>
  <si>
    <r>
      <t>Y</t>
    </r>
    <r>
      <rPr>
        <vertAlign val="subscript"/>
        <sz val="12"/>
        <color indexed="10"/>
        <rFont val="Symbol"/>
        <family val="1"/>
      </rPr>
      <t>e</t>
    </r>
    <r>
      <rPr>
        <sz val="12"/>
        <color indexed="10"/>
        <rFont val="Arial"/>
        <family val="2"/>
      </rPr>
      <t xml:space="preserve"> =</t>
    </r>
  </si>
  <si>
    <r>
      <t>Z</t>
    </r>
    <r>
      <rPr>
        <vertAlign val="subscript"/>
        <sz val="12"/>
        <color indexed="10"/>
        <rFont val="Arial"/>
        <family val="2"/>
      </rPr>
      <t>e</t>
    </r>
    <r>
      <rPr>
        <sz val="12"/>
        <color indexed="10"/>
        <rFont val="Arial"/>
        <family val="2"/>
      </rPr>
      <t xml:space="preserve"> =</t>
    </r>
  </si>
  <si>
    <r>
      <t>Y</t>
    </r>
    <r>
      <rPr>
        <vertAlign val="subscript"/>
        <sz val="12"/>
        <color indexed="10"/>
        <rFont val="Symbol"/>
        <family val="1"/>
      </rPr>
      <t>b</t>
    </r>
    <r>
      <rPr>
        <sz val="12"/>
        <color indexed="10"/>
        <rFont val="Arial"/>
        <family val="2"/>
      </rPr>
      <t xml:space="preserve"> =</t>
    </r>
  </si>
  <si>
    <r>
      <t>K</t>
    </r>
    <r>
      <rPr>
        <vertAlign val="subscript"/>
        <sz val="12"/>
        <color indexed="10"/>
        <rFont val="Arial"/>
        <family val="2"/>
      </rPr>
      <t>F</t>
    </r>
    <r>
      <rPr>
        <vertAlign val="subscript"/>
        <sz val="12"/>
        <color indexed="10"/>
        <rFont val="Symbol"/>
        <family val="1"/>
      </rPr>
      <t>a</t>
    </r>
    <r>
      <rPr>
        <vertAlign val="subscript"/>
        <sz val="12"/>
        <color indexed="10"/>
        <rFont val="Arial"/>
        <family val="2"/>
      </rPr>
      <t xml:space="preserve"> </t>
    </r>
    <r>
      <rPr>
        <sz val="12"/>
        <color indexed="10"/>
        <rFont val="Arial"/>
        <family val="2"/>
      </rPr>
      <t xml:space="preserve"> =</t>
    </r>
  </si>
  <si>
    <t>=</t>
  </si>
  <si>
    <r>
      <t>b</t>
    </r>
    <r>
      <rPr>
        <sz val="12"/>
        <color indexed="10"/>
        <rFont val="Arial"/>
        <family val="2"/>
      </rPr>
      <t xml:space="preserve"> = </t>
    </r>
  </si>
  <si>
    <r>
      <t>K</t>
    </r>
    <r>
      <rPr>
        <vertAlign val="subscript"/>
        <sz val="12"/>
        <color indexed="10"/>
        <rFont val="Arial"/>
        <family val="2"/>
      </rPr>
      <t>H</t>
    </r>
    <r>
      <rPr>
        <vertAlign val="subscript"/>
        <sz val="12"/>
        <color indexed="10"/>
        <rFont val="Symbol"/>
        <family val="1"/>
      </rPr>
      <t>a</t>
    </r>
    <r>
      <rPr>
        <vertAlign val="subscript"/>
        <sz val="12"/>
        <color indexed="10"/>
        <rFont val="Arial"/>
        <family val="2"/>
      </rPr>
      <t xml:space="preserve"> </t>
    </r>
    <r>
      <rPr>
        <sz val="12"/>
        <color indexed="10"/>
        <rFont val="Arial"/>
        <family val="2"/>
      </rPr>
      <t xml:space="preserve"> =</t>
    </r>
  </si>
  <si>
    <t>Malzeme</t>
  </si>
  <si>
    <t>&gt; 100 N/mm</t>
  </si>
  <si>
    <t>&lt; 100</t>
  </si>
  <si>
    <t>&gt; 100</t>
  </si>
  <si>
    <r>
      <t>b</t>
    </r>
    <r>
      <rPr>
        <sz val="12"/>
        <rFont val="Arial"/>
        <family val="2"/>
      </rPr>
      <t xml:space="preserve"> = 0</t>
    </r>
  </si>
  <si>
    <t>6-12</t>
  </si>
  <si>
    <r>
      <t>K</t>
    </r>
    <r>
      <rPr>
        <vertAlign val="subscript"/>
        <sz val="12"/>
        <rFont val="Arial"/>
        <family val="2"/>
      </rPr>
      <t xml:space="preserve">Fa </t>
    </r>
    <r>
      <rPr>
        <sz val="12"/>
        <rFont val="Arial"/>
        <family val="2"/>
      </rPr>
      <t xml:space="preserve"> =</t>
    </r>
  </si>
  <si>
    <r>
      <t>b</t>
    </r>
    <r>
      <rPr>
        <sz val="12"/>
        <rFont val="Arial"/>
        <family val="2"/>
      </rPr>
      <t xml:space="preserve"> &gt; 0</t>
    </r>
  </si>
  <si>
    <r>
      <t>K</t>
    </r>
    <r>
      <rPr>
        <vertAlign val="subscript"/>
        <sz val="12"/>
        <rFont val="Arial"/>
        <family val="2"/>
      </rPr>
      <t xml:space="preserve">Ha </t>
    </r>
    <r>
      <rPr>
        <sz val="12"/>
        <rFont val="Arial"/>
        <family val="2"/>
      </rPr>
      <t xml:space="preserve"> =</t>
    </r>
  </si>
  <si>
    <r>
      <t>Çizgisel yük ( K</t>
    </r>
    <r>
      <rPr>
        <vertAlign val="subscript"/>
        <sz val="12"/>
        <rFont val="Arial"/>
        <family val="2"/>
      </rPr>
      <t>A</t>
    </r>
    <r>
      <rPr>
        <sz val="12"/>
        <rFont val="Arial"/>
        <family val="2"/>
      </rPr>
      <t xml:space="preserve"> F</t>
    </r>
    <r>
      <rPr>
        <vertAlign val="subscript"/>
        <sz val="12"/>
        <rFont val="Arial"/>
        <family val="2"/>
      </rPr>
      <t>t</t>
    </r>
    <r>
      <rPr>
        <sz val="12"/>
        <rFont val="Arial"/>
        <family val="2"/>
      </rPr>
      <t xml:space="preserve"> / b ) in N/mm</t>
    </r>
  </si>
  <si>
    <t>&lt;100
N/mm</t>
  </si>
  <si>
    <t>Dişli kalitesi</t>
  </si>
  <si>
    <t>DIN 3962</t>
  </si>
  <si>
    <t>6 ... 12</t>
  </si>
  <si>
    <t>1)*</t>
  </si>
  <si>
    <t>Düz dişli</t>
  </si>
  <si>
    <t>1,0</t>
  </si>
  <si>
    <t>1,1</t>
  </si>
  <si>
    <t>1,2</t>
  </si>
  <si>
    <r>
      <t>1 / Y</t>
    </r>
    <r>
      <rPr>
        <vertAlign val="subscript"/>
        <sz val="12"/>
        <rFont val="Arial"/>
        <family val="2"/>
      </rPr>
      <t>e</t>
    </r>
    <r>
      <rPr>
        <sz val="12"/>
        <rFont val="Arial"/>
        <family val="2"/>
      </rPr>
      <t xml:space="preserve">  &gt;1,2          3)*</t>
    </r>
  </si>
  <si>
    <r>
      <t>K</t>
    </r>
    <r>
      <rPr>
        <vertAlign val="subscript"/>
        <sz val="12"/>
        <rFont val="Arial"/>
        <family val="2"/>
      </rPr>
      <t>Ha</t>
    </r>
  </si>
  <si>
    <r>
      <t>1 / Z</t>
    </r>
    <r>
      <rPr>
        <vertAlign val="subscript"/>
        <sz val="12"/>
        <rFont val="Arial"/>
        <family val="2"/>
      </rPr>
      <t>e</t>
    </r>
    <r>
      <rPr>
        <vertAlign val="superscript"/>
        <sz val="12"/>
        <rFont val="Arial"/>
        <family val="2"/>
      </rPr>
      <t xml:space="preserve">2 </t>
    </r>
    <r>
      <rPr>
        <sz val="12"/>
        <rFont val="Arial"/>
        <family val="2"/>
      </rPr>
      <t>&gt; 1,2          3)*</t>
    </r>
  </si>
  <si>
    <t>Helis dişli</t>
  </si>
  <si>
    <t>1,4</t>
  </si>
  <si>
    <r>
      <t>e</t>
    </r>
    <r>
      <rPr>
        <vertAlign val="subscript"/>
        <sz val="12"/>
        <rFont val="Arial"/>
        <family val="2"/>
      </rPr>
      <t>an</t>
    </r>
    <r>
      <rPr>
        <sz val="12"/>
        <rFont val="Arial"/>
        <family val="2"/>
      </rPr>
      <t xml:space="preserve"> = e</t>
    </r>
    <r>
      <rPr>
        <vertAlign val="subscript"/>
        <sz val="12"/>
        <rFont val="Arial"/>
        <family val="2"/>
      </rPr>
      <t>a</t>
    </r>
    <r>
      <rPr>
        <sz val="12"/>
        <rFont val="Arial"/>
        <family val="2"/>
      </rPr>
      <t xml:space="preserve"> / cos</t>
    </r>
    <r>
      <rPr>
        <vertAlign val="superscript"/>
        <sz val="12"/>
        <rFont val="Arial"/>
        <family val="2"/>
      </rPr>
      <t>2</t>
    </r>
    <r>
      <rPr>
        <sz val="12"/>
        <rFont val="Arial"/>
        <family val="2"/>
      </rPr>
      <t>b</t>
    </r>
    <r>
      <rPr>
        <vertAlign val="subscript"/>
        <sz val="12"/>
        <rFont val="Arial"/>
        <family val="2"/>
      </rPr>
      <t>b</t>
    </r>
    <r>
      <rPr>
        <sz val="12"/>
        <rFont val="Arial"/>
        <family val="2"/>
      </rPr>
      <t xml:space="preserve"> &gt;1,4    3)*</t>
    </r>
  </si>
  <si>
    <t>2)*</t>
  </si>
  <si>
    <r>
      <t>1 / Y</t>
    </r>
    <r>
      <rPr>
        <vertAlign val="subscript"/>
        <sz val="12"/>
        <rFont val="Arial"/>
        <family val="2"/>
      </rPr>
      <t>e</t>
    </r>
    <r>
      <rPr>
        <sz val="12"/>
        <rFont val="Arial"/>
        <family val="2"/>
      </rPr>
      <t xml:space="preserve"> &gt;1,2          3)*</t>
    </r>
  </si>
  <si>
    <r>
      <t>1 / Z</t>
    </r>
    <r>
      <rPr>
        <vertAlign val="subscript"/>
        <sz val="12"/>
        <rFont val="Arial"/>
        <family val="2"/>
      </rPr>
      <t>e</t>
    </r>
    <r>
      <rPr>
        <vertAlign val="superscript"/>
        <sz val="12"/>
        <rFont val="Arial"/>
        <family val="2"/>
      </rPr>
      <t>2</t>
    </r>
    <r>
      <rPr>
        <sz val="12"/>
        <rFont val="Arial"/>
        <family val="2"/>
      </rPr>
      <t xml:space="preserve"> &gt; 1,2          3)*</t>
    </r>
  </si>
  <si>
    <t>3)*</t>
  </si>
  <si>
    <r>
      <t>e</t>
    </r>
    <r>
      <rPr>
        <vertAlign val="subscript"/>
        <sz val="12"/>
        <rFont val="Arial"/>
        <family val="2"/>
      </rPr>
      <t>an</t>
    </r>
    <r>
      <rPr>
        <sz val="12"/>
        <rFont val="Arial"/>
        <family val="2"/>
      </rPr>
      <t xml:space="preserve"> = e</t>
    </r>
    <r>
      <rPr>
        <vertAlign val="subscript"/>
        <sz val="12"/>
        <rFont val="Arial"/>
        <family val="2"/>
      </rPr>
      <t>a</t>
    </r>
    <r>
      <rPr>
        <sz val="12"/>
        <rFont val="Arial"/>
        <family val="2"/>
      </rPr>
      <t xml:space="preserve"> / cos</t>
    </r>
    <r>
      <rPr>
        <vertAlign val="superscript"/>
        <sz val="12"/>
        <rFont val="Arial"/>
        <family val="2"/>
      </rPr>
      <t>2</t>
    </r>
    <r>
      <rPr>
        <sz val="12"/>
        <rFont val="Arial"/>
        <family val="2"/>
      </rPr>
      <t>b</t>
    </r>
    <r>
      <rPr>
        <vertAlign val="subscript"/>
        <sz val="12"/>
        <rFont val="Arial"/>
        <family val="2"/>
      </rPr>
      <t>b</t>
    </r>
    <r>
      <rPr>
        <sz val="12"/>
        <rFont val="Arial"/>
        <family val="2"/>
      </rPr>
      <t xml:space="preserve"> &gt; 1,4</t>
    </r>
  </si>
  <si>
    <t>Semente ve çevresel sertleştirilmiş veya nitrasyonla sertleştirilmiş dişliler.</t>
  </si>
  <si>
    <t>Sertleştirilmemiş, normal malzemeye ayrıca hiçbir şekilde müdahale edilmemiş dişliler.</t>
  </si>
  <si>
    <t>Faktor verilen formül ile hesaplanır. Elde edilen değer eşitlikte verilen değerden küçük çıksada, eşitlikte verilen değer alınır.</t>
  </si>
  <si>
    <r>
      <t>cos a</t>
    </r>
    <r>
      <rPr>
        <vertAlign val="subscript"/>
        <sz val="12"/>
        <rFont val="Arial"/>
        <family val="2"/>
      </rPr>
      <t>n</t>
    </r>
    <r>
      <rPr>
        <sz val="12"/>
        <rFont val="Arial"/>
        <family val="2"/>
      </rPr>
      <t xml:space="preserve"> =</t>
    </r>
  </si>
  <si>
    <r>
      <t>sin a</t>
    </r>
    <r>
      <rPr>
        <vertAlign val="subscript"/>
        <sz val="12"/>
        <rFont val="Arial"/>
        <family val="2"/>
      </rPr>
      <t>n</t>
    </r>
    <r>
      <rPr>
        <sz val="12"/>
        <rFont val="Arial"/>
        <family val="2"/>
      </rPr>
      <t xml:space="preserve"> =</t>
    </r>
  </si>
  <si>
    <t>mn =</t>
  </si>
  <si>
    <r>
      <t>H</t>
    </r>
    <r>
      <rPr>
        <vertAlign val="subscript"/>
        <sz val="12"/>
        <color indexed="10"/>
        <rFont val="Arial"/>
        <family val="2"/>
      </rPr>
      <t>1</t>
    </r>
    <r>
      <rPr>
        <sz val="12"/>
        <color indexed="10"/>
        <rFont val="Arial"/>
        <family val="2"/>
      </rPr>
      <t xml:space="preserve"> =</t>
    </r>
  </si>
  <si>
    <r>
      <t>H</t>
    </r>
    <r>
      <rPr>
        <vertAlign val="subscript"/>
        <sz val="12"/>
        <color indexed="10"/>
        <rFont val="Arial"/>
        <family val="2"/>
      </rPr>
      <t>2</t>
    </r>
    <r>
      <rPr>
        <sz val="12"/>
        <color indexed="10"/>
        <rFont val="Arial"/>
        <family val="2"/>
      </rPr>
      <t xml:space="preserve"> =</t>
    </r>
  </si>
  <si>
    <t xml:space="preserve">E = </t>
  </si>
  <si>
    <r>
      <t>h</t>
    </r>
    <r>
      <rPr>
        <vertAlign val="subscript"/>
        <sz val="12"/>
        <rFont val="Arial"/>
        <family val="2"/>
      </rPr>
      <t>a0</t>
    </r>
    <r>
      <rPr>
        <sz val="12"/>
        <rFont val="Arial"/>
        <family val="2"/>
      </rPr>
      <t xml:space="preserve"> =</t>
    </r>
  </si>
  <si>
    <t>Ysa</t>
  </si>
  <si>
    <r>
      <t>Y</t>
    </r>
    <r>
      <rPr>
        <vertAlign val="subscript"/>
        <sz val="12"/>
        <color indexed="10"/>
        <rFont val="Arial"/>
        <family val="2"/>
      </rPr>
      <t>Sa1</t>
    </r>
    <r>
      <rPr>
        <sz val="12"/>
        <color indexed="10"/>
        <rFont val="Arial"/>
        <family val="2"/>
      </rPr>
      <t xml:space="preserve"> =</t>
    </r>
  </si>
  <si>
    <r>
      <t>Y</t>
    </r>
    <r>
      <rPr>
        <vertAlign val="subscript"/>
        <sz val="12"/>
        <color indexed="10"/>
        <rFont val="Arial"/>
        <family val="2"/>
      </rPr>
      <t>Sa2</t>
    </r>
    <r>
      <rPr>
        <sz val="12"/>
        <color indexed="10"/>
        <rFont val="Arial"/>
        <family val="2"/>
      </rPr>
      <t xml:space="preserve"> =</t>
    </r>
  </si>
  <si>
    <r>
      <t>L</t>
    </r>
    <r>
      <rPr>
        <vertAlign val="subscript"/>
        <sz val="12"/>
        <color indexed="10"/>
        <rFont val="Arial"/>
        <family val="2"/>
      </rPr>
      <t>a1</t>
    </r>
    <r>
      <rPr>
        <sz val="12"/>
        <color indexed="10"/>
        <rFont val="Arial"/>
        <family val="2"/>
      </rPr>
      <t xml:space="preserve"> =</t>
    </r>
  </si>
  <si>
    <r>
      <t>L</t>
    </r>
    <r>
      <rPr>
        <vertAlign val="subscript"/>
        <sz val="12"/>
        <color indexed="10"/>
        <rFont val="Arial"/>
        <family val="2"/>
      </rPr>
      <t>a2</t>
    </r>
    <r>
      <rPr>
        <sz val="12"/>
        <color indexed="10"/>
        <rFont val="Arial"/>
        <family val="2"/>
      </rPr>
      <t xml:space="preserve"> =</t>
    </r>
  </si>
  <si>
    <r>
      <t>q</t>
    </r>
    <r>
      <rPr>
        <vertAlign val="subscript"/>
        <sz val="12"/>
        <color indexed="10"/>
        <rFont val="Arial"/>
        <family val="2"/>
      </rPr>
      <t>s1</t>
    </r>
    <r>
      <rPr>
        <sz val="12"/>
        <color indexed="10"/>
        <rFont val="Arial"/>
        <family val="2"/>
      </rPr>
      <t xml:space="preserve"> =</t>
    </r>
  </si>
  <si>
    <r>
      <t>q</t>
    </r>
    <r>
      <rPr>
        <vertAlign val="subscript"/>
        <sz val="12"/>
        <color indexed="10"/>
        <rFont val="Arial"/>
        <family val="2"/>
      </rPr>
      <t>s2</t>
    </r>
    <r>
      <rPr>
        <sz val="12"/>
        <color indexed="10"/>
        <rFont val="Arial"/>
        <family val="2"/>
      </rPr>
      <t xml:space="preserve"> =</t>
    </r>
  </si>
  <si>
    <r>
      <t>S</t>
    </r>
    <r>
      <rPr>
        <vertAlign val="subscript"/>
        <sz val="12"/>
        <color indexed="10"/>
        <rFont val="Arial"/>
        <family val="2"/>
      </rPr>
      <t>Fn1</t>
    </r>
    <r>
      <rPr>
        <sz val="12"/>
        <color indexed="10"/>
        <rFont val="Arial"/>
        <family val="2"/>
      </rPr>
      <t xml:space="preserve"> =</t>
    </r>
  </si>
  <si>
    <r>
      <t>S</t>
    </r>
    <r>
      <rPr>
        <vertAlign val="subscript"/>
        <sz val="12"/>
        <color indexed="10"/>
        <rFont val="Arial"/>
        <family val="2"/>
      </rPr>
      <t>Fn2</t>
    </r>
    <r>
      <rPr>
        <sz val="12"/>
        <color indexed="10"/>
        <rFont val="Arial"/>
        <family val="2"/>
      </rPr>
      <t xml:space="preserve"> =</t>
    </r>
  </si>
  <si>
    <r>
      <t>r</t>
    </r>
    <r>
      <rPr>
        <vertAlign val="subscript"/>
        <sz val="12"/>
        <color indexed="10"/>
        <rFont val="Arial"/>
        <family val="2"/>
      </rPr>
      <t>F1</t>
    </r>
    <r>
      <rPr>
        <sz val="12"/>
        <color indexed="10"/>
        <rFont val="Arial"/>
        <family val="2"/>
      </rPr>
      <t xml:space="preserve"> =</t>
    </r>
  </si>
  <si>
    <r>
      <t>r</t>
    </r>
    <r>
      <rPr>
        <vertAlign val="subscript"/>
        <sz val="12"/>
        <color indexed="10"/>
        <rFont val="Arial"/>
        <family val="2"/>
      </rPr>
      <t>F2</t>
    </r>
    <r>
      <rPr>
        <sz val="12"/>
        <color indexed="10"/>
        <rFont val="Arial"/>
        <family val="2"/>
      </rPr>
      <t xml:space="preserve"> =</t>
    </r>
  </si>
  <si>
    <r>
      <t>G</t>
    </r>
    <r>
      <rPr>
        <vertAlign val="subscript"/>
        <sz val="12"/>
        <rFont val="Arial"/>
        <family val="2"/>
      </rPr>
      <t>1</t>
    </r>
    <r>
      <rPr>
        <sz val="12"/>
        <rFont val="Arial"/>
        <family val="2"/>
      </rPr>
      <t xml:space="preserve"> =</t>
    </r>
  </si>
  <si>
    <r>
      <t>G</t>
    </r>
    <r>
      <rPr>
        <vertAlign val="subscript"/>
        <sz val="12"/>
        <rFont val="Arial"/>
        <family val="2"/>
      </rPr>
      <t>2</t>
    </r>
    <r>
      <rPr>
        <sz val="12"/>
        <rFont val="Arial"/>
        <family val="2"/>
      </rPr>
      <t xml:space="preserve"> =</t>
    </r>
  </si>
  <si>
    <r>
      <t>cos J</t>
    </r>
    <r>
      <rPr>
        <vertAlign val="subscript"/>
        <sz val="12"/>
        <rFont val="Arial"/>
        <family val="2"/>
      </rPr>
      <t>1</t>
    </r>
    <r>
      <rPr>
        <sz val="12"/>
        <rFont val="Arial"/>
        <family val="2"/>
      </rPr>
      <t xml:space="preserve"> =</t>
    </r>
  </si>
  <si>
    <r>
      <t>cos J</t>
    </r>
    <r>
      <rPr>
        <vertAlign val="subscript"/>
        <sz val="12"/>
        <rFont val="Arial"/>
        <family val="2"/>
      </rPr>
      <t>2</t>
    </r>
    <r>
      <rPr>
        <sz val="12"/>
        <rFont val="Arial"/>
        <family val="2"/>
      </rPr>
      <t xml:space="preserve"> =</t>
    </r>
  </si>
  <si>
    <r>
      <t>z</t>
    </r>
    <r>
      <rPr>
        <vertAlign val="subscript"/>
        <sz val="12"/>
        <rFont val="Arial"/>
        <family val="2"/>
      </rPr>
      <t>n1</t>
    </r>
    <r>
      <rPr>
        <sz val="12"/>
        <rFont val="Arial"/>
        <family val="2"/>
      </rPr>
      <t xml:space="preserve"> =</t>
    </r>
  </si>
  <si>
    <r>
      <t>z</t>
    </r>
    <r>
      <rPr>
        <vertAlign val="subscript"/>
        <sz val="12"/>
        <rFont val="Arial"/>
        <family val="2"/>
      </rPr>
      <t>n2</t>
    </r>
    <r>
      <rPr>
        <sz val="12"/>
        <rFont val="Arial"/>
        <family val="2"/>
      </rPr>
      <t xml:space="preserve"> =</t>
    </r>
  </si>
  <si>
    <r>
      <t>h</t>
    </r>
    <r>
      <rPr>
        <vertAlign val="subscript"/>
        <sz val="12"/>
        <color indexed="10"/>
        <rFont val="Arial"/>
        <family val="2"/>
      </rPr>
      <t>Fn1</t>
    </r>
    <r>
      <rPr>
        <sz val="12"/>
        <color indexed="10"/>
        <rFont val="Arial"/>
        <family val="2"/>
      </rPr>
      <t xml:space="preserve"> =</t>
    </r>
  </si>
  <si>
    <r>
      <t>h</t>
    </r>
    <r>
      <rPr>
        <vertAlign val="subscript"/>
        <sz val="12"/>
        <color indexed="10"/>
        <rFont val="Arial"/>
        <family val="2"/>
      </rPr>
      <t>Fn2</t>
    </r>
    <r>
      <rPr>
        <sz val="12"/>
        <color indexed="10"/>
        <rFont val="Arial"/>
        <family val="2"/>
      </rPr>
      <t xml:space="preserve"> =</t>
    </r>
  </si>
  <si>
    <r>
      <t>s</t>
    </r>
    <r>
      <rPr>
        <vertAlign val="subscript"/>
        <sz val="12"/>
        <color indexed="10"/>
        <rFont val="Arial"/>
        <family val="2"/>
      </rPr>
      <t>FG1</t>
    </r>
    <r>
      <rPr>
        <sz val="12"/>
        <color indexed="10"/>
        <rFont val="Arial"/>
        <family val="2"/>
      </rPr>
      <t xml:space="preserve"> =</t>
    </r>
  </si>
  <si>
    <r>
      <t>s</t>
    </r>
    <r>
      <rPr>
        <vertAlign val="subscript"/>
        <sz val="12"/>
        <color indexed="10"/>
        <rFont val="Arial"/>
        <family val="2"/>
      </rPr>
      <t>FG2</t>
    </r>
    <r>
      <rPr>
        <sz val="12"/>
        <color indexed="10"/>
        <rFont val="Arial"/>
        <family val="2"/>
      </rPr>
      <t xml:space="preserve"> =</t>
    </r>
  </si>
  <si>
    <r>
      <t>Y</t>
    </r>
    <r>
      <rPr>
        <vertAlign val="subscript"/>
        <sz val="12"/>
        <color indexed="10"/>
        <rFont val="Arial"/>
        <family val="2"/>
      </rPr>
      <t xml:space="preserve">ST </t>
    </r>
    <r>
      <rPr>
        <sz val="12"/>
        <color indexed="10"/>
        <rFont val="Arial"/>
        <family val="2"/>
      </rPr>
      <t>=</t>
    </r>
  </si>
  <si>
    <r>
      <t>Y</t>
    </r>
    <r>
      <rPr>
        <vertAlign val="subscript"/>
        <sz val="12"/>
        <color indexed="10"/>
        <rFont val="Arial"/>
        <family val="2"/>
      </rPr>
      <t xml:space="preserve">NT </t>
    </r>
    <r>
      <rPr>
        <sz val="12"/>
        <color indexed="10"/>
        <rFont val="Arial"/>
        <family val="2"/>
      </rPr>
      <t>=</t>
    </r>
  </si>
  <si>
    <r>
      <t>N/mm</t>
    </r>
    <r>
      <rPr>
        <vertAlign val="superscript"/>
        <sz val="12"/>
        <rFont val="Arial"/>
        <family val="2"/>
      </rPr>
      <t>2</t>
    </r>
  </si>
  <si>
    <r>
      <t>Y</t>
    </r>
    <r>
      <rPr>
        <vertAlign val="subscript"/>
        <sz val="12"/>
        <color indexed="10"/>
        <rFont val="Arial"/>
        <family val="2"/>
      </rPr>
      <t xml:space="preserve">drelT </t>
    </r>
    <r>
      <rPr>
        <sz val="12"/>
        <color indexed="10"/>
        <rFont val="Arial"/>
        <family val="2"/>
      </rPr>
      <t>=</t>
    </r>
  </si>
  <si>
    <r>
      <t>Y</t>
    </r>
    <r>
      <rPr>
        <vertAlign val="subscript"/>
        <sz val="12"/>
        <color indexed="10"/>
        <rFont val="Arial"/>
        <family val="2"/>
      </rPr>
      <t xml:space="preserve">RelT </t>
    </r>
    <r>
      <rPr>
        <sz val="12"/>
        <color indexed="10"/>
        <rFont val="Arial"/>
        <family val="2"/>
      </rPr>
      <t>=</t>
    </r>
  </si>
  <si>
    <r>
      <t>Y</t>
    </r>
    <r>
      <rPr>
        <vertAlign val="subscript"/>
        <sz val="12"/>
        <color indexed="10"/>
        <rFont val="Arial"/>
        <family val="2"/>
      </rPr>
      <t xml:space="preserve">x </t>
    </r>
    <r>
      <rPr>
        <sz val="12"/>
        <color indexed="10"/>
        <rFont val="Arial"/>
        <family val="2"/>
      </rPr>
      <t>=</t>
    </r>
  </si>
  <si>
    <r>
      <t>Y</t>
    </r>
    <r>
      <rPr>
        <vertAlign val="subscript"/>
        <sz val="12"/>
        <rFont val="Arial"/>
        <family val="2"/>
      </rPr>
      <t>NT</t>
    </r>
  </si>
  <si>
    <r>
      <t>N</t>
    </r>
    <r>
      <rPr>
        <vertAlign val="subscript"/>
        <sz val="12"/>
        <rFont val="Arial"/>
        <family val="2"/>
      </rPr>
      <t>L</t>
    </r>
    <r>
      <rPr>
        <sz val="12"/>
        <rFont val="Arial"/>
        <family val="2"/>
      </rPr>
      <t xml:space="preserve"> =</t>
    </r>
  </si>
  <si>
    <r>
      <t>Yükleme sayısı  N</t>
    </r>
    <r>
      <rPr>
        <vertAlign val="subscript"/>
        <sz val="12"/>
        <rFont val="Arial"/>
        <family val="2"/>
      </rPr>
      <t>L</t>
    </r>
  </si>
  <si>
    <r>
      <t>N</t>
    </r>
    <r>
      <rPr>
        <vertAlign val="subscript"/>
        <sz val="12"/>
        <rFont val="Arial"/>
        <family val="2"/>
      </rPr>
      <t>L</t>
    </r>
    <r>
      <rPr>
        <sz val="12"/>
        <rFont val="Arial"/>
        <family val="2"/>
      </rPr>
      <t xml:space="preserve"> &lt; 10</t>
    </r>
    <r>
      <rPr>
        <vertAlign val="superscript"/>
        <sz val="12"/>
        <rFont val="Arial"/>
        <family val="2"/>
      </rPr>
      <t>3</t>
    </r>
  </si>
  <si>
    <r>
      <t>10</t>
    </r>
    <r>
      <rPr>
        <vertAlign val="superscript"/>
        <sz val="12"/>
        <rFont val="Arial"/>
        <family val="2"/>
      </rPr>
      <t>3</t>
    </r>
    <r>
      <rPr>
        <sz val="12"/>
        <rFont val="Arial"/>
        <family val="2"/>
      </rPr>
      <t xml:space="preserve"> &lt; N</t>
    </r>
    <r>
      <rPr>
        <vertAlign val="subscript"/>
        <sz val="12"/>
        <rFont val="Arial"/>
        <family val="2"/>
      </rPr>
      <t>L</t>
    </r>
    <r>
      <rPr>
        <sz val="12"/>
        <rFont val="Arial"/>
        <family val="2"/>
      </rPr>
      <t xml:space="preserve"> &lt; 3.10</t>
    </r>
    <r>
      <rPr>
        <vertAlign val="superscript"/>
        <sz val="12"/>
        <rFont val="Arial"/>
        <family val="2"/>
      </rPr>
      <t>6</t>
    </r>
  </si>
  <si>
    <r>
      <t>3. 10</t>
    </r>
    <r>
      <rPr>
        <vertAlign val="superscript"/>
        <sz val="12"/>
        <rFont val="Arial"/>
        <family val="2"/>
      </rPr>
      <t>6</t>
    </r>
    <r>
      <rPr>
        <sz val="12"/>
        <rFont val="Arial"/>
        <family val="2"/>
      </rPr>
      <t xml:space="preserve"> &lt; N</t>
    </r>
    <r>
      <rPr>
        <vertAlign val="subscript"/>
        <sz val="12"/>
        <rFont val="Arial"/>
        <family val="2"/>
      </rPr>
      <t>L</t>
    </r>
  </si>
  <si>
    <r>
      <t>Y</t>
    </r>
    <r>
      <rPr>
        <vertAlign val="subscript"/>
        <sz val="12"/>
        <color indexed="10"/>
        <rFont val="Symbol"/>
        <family val="1"/>
      </rPr>
      <t>d</t>
    </r>
    <r>
      <rPr>
        <vertAlign val="subscript"/>
        <sz val="12"/>
        <color indexed="10"/>
        <rFont val="Arial"/>
        <family val="2"/>
      </rPr>
      <t xml:space="preserve">relT </t>
    </r>
    <r>
      <rPr>
        <sz val="12"/>
        <color indexed="10"/>
        <rFont val="Arial"/>
        <family val="2"/>
      </rPr>
      <t>=</t>
    </r>
  </si>
  <si>
    <r>
      <t>Y</t>
    </r>
    <r>
      <rPr>
        <vertAlign val="subscript"/>
        <sz val="12"/>
        <rFont val="Arial"/>
        <family val="2"/>
      </rPr>
      <t>RelT</t>
    </r>
  </si>
  <si>
    <t>Rz =</t>
  </si>
  <si>
    <t>Yüzey kalitesi</t>
  </si>
  <si>
    <r>
      <t>R</t>
    </r>
    <r>
      <rPr>
        <vertAlign val="subscript"/>
        <sz val="12"/>
        <rFont val="Arial"/>
        <family val="2"/>
      </rPr>
      <t>z</t>
    </r>
    <r>
      <rPr>
        <sz val="12"/>
        <rFont val="Arial"/>
        <family val="2"/>
      </rPr>
      <t xml:space="preserve"> &lt; 1 mm</t>
    </r>
  </si>
  <si>
    <r>
      <t>1 mm &lt; R</t>
    </r>
    <r>
      <rPr>
        <vertAlign val="subscript"/>
        <sz val="12"/>
        <rFont val="Arial"/>
        <family val="2"/>
      </rPr>
      <t>z</t>
    </r>
    <r>
      <rPr>
        <sz val="12"/>
        <rFont val="Arial"/>
        <family val="2"/>
      </rPr>
      <t xml:space="preserve"> &lt; 40 mm</t>
    </r>
  </si>
  <si>
    <r>
      <t>Y</t>
    </r>
    <r>
      <rPr>
        <vertAlign val="subscript"/>
        <sz val="12"/>
        <rFont val="Arial"/>
        <family val="2"/>
      </rPr>
      <t>RelT</t>
    </r>
    <r>
      <rPr>
        <sz val="12"/>
        <rFont val="Arial"/>
        <family val="2"/>
      </rPr>
      <t>=</t>
    </r>
  </si>
  <si>
    <r>
      <t>Y</t>
    </r>
    <r>
      <rPr>
        <vertAlign val="subscript"/>
        <sz val="12"/>
        <rFont val="Arial"/>
        <family val="2"/>
      </rPr>
      <t>x</t>
    </r>
  </si>
  <si>
    <t>Normal modül [mm]</t>
  </si>
  <si>
    <r>
      <t>m</t>
    </r>
    <r>
      <rPr>
        <vertAlign val="subscript"/>
        <sz val="12"/>
        <rFont val="Arial"/>
        <family val="2"/>
      </rPr>
      <t>n</t>
    </r>
    <r>
      <rPr>
        <sz val="12"/>
        <rFont val="Arial"/>
        <family val="2"/>
      </rPr>
      <t xml:space="preserve"> &lt; 5</t>
    </r>
  </si>
  <si>
    <r>
      <t>5 &lt; m</t>
    </r>
    <r>
      <rPr>
        <vertAlign val="subscript"/>
        <sz val="12"/>
        <rFont val="Arial"/>
        <family val="2"/>
      </rPr>
      <t>n</t>
    </r>
    <r>
      <rPr>
        <sz val="12"/>
        <rFont val="Arial"/>
        <family val="2"/>
      </rPr>
      <t xml:space="preserve"> &lt; 25</t>
    </r>
  </si>
  <si>
    <r>
      <t>m</t>
    </r>
    <r>
      <rPr>
        <vertAlign val="subscript"/>
        <sz val="12"/>
        <rFont val="Arial"/>
        <family val="2"/>
      </rPr>
      <t>n</t>
    </r>
    <r>
      <rPr>
        <sz val="12"/>
        <rFont val="Arial"/>
        <family val="2"/>
      </rPr>
      <t xml:space="preserve"> &gt; 25</t>
    </r>
  </si>
  <si>
    <r>
      <t>Y</t>
    </r>
    <r>
      <rPr>
        <vertAlign val="subscript"/>
        <sz val="12"/>
        <rFont val="Arial"/>
        <family val="2"/>
      </rPr>
      <t>x</t>
    </r>
    <r>
      <rPr>
        <sz val="12"/>
        <rFont val="Arial"/>
        <family val="2"/>
      </rPr>
      <t xml:space="preserve"> = 1</t>
    </r>
  </si>
  <si>
    <r>
      <t>Y</t>
    </r>
    <r>
      <rPr>
        <vertAlign val="subscript"/>
        <sz val="12"/>
        <rFont val="Arial"/>
        <family val="2"/>
      </rPr>
      <t>x</t>
    </r>
    <r>
      <rPr>
        <sz val="12"/>
        <rFont val="Arial"/>
        <family val="2"/>
      </rPr>
      <t xml:space="preserve"> =1,075 - 0,015*m</t>
    </r>
    <r>
      <rPr>
        <vertAlign val="subscript"/>
        <sz val="12"/>
        <rFont val="Arial"/>
        <family val="2"/>
      </rPr>
      <t>n</t>
    </r>
  </si>
  <si>
    <r>
      <t>Y</t>
    </r>
    <r>
      <rPr>
        <vertAlign val="subscript"/>
        <sz val="12"/>
        <rFont val="Arial"/>
        <family val="2"/>
      </rPr>
      <t>x</t>
    </r>
    <r>
      <rPr>
        <sz val="12"/>
        <rFont val="Arial"/>
        <family val="2"/>
      </rPr>
      <t xml:space="preserve"> = 0,70</t>
    </r>
  </si>
  <si>
    <r>
      <t>Y</t>
    </r>
    <r>
      <rPr>
        <vertAlign val="subscript"/>
        <sz val="12"/>
        <rFont val="Arial"/>
        <family val="2"/>
      </rPr>
      <t>x</t>
    </r>
    <r>
      <rPr>
        <sz val="12"/>
        <rFont val="Arial"/>
        <family val="2"/>
      </rPr>
      <t xml:space="preserve"> =1,03 - 0,006*m</t>
    </r>
    <r>
      <rPr>
        <vertAlign val="subscript"/>
        <sz val="12"/>
        <rFont val="Arial"/>
        <family val="2"/>
      </rPr>
      <t>n</t>
    </r>
  </si>
  <si>
    <r>
      <t>Y</t>
    </r>
    <r>
      <rPr>
        <vertAlign val="subscript"/>
        <sz val="12"/>
        <rFont val="Arial"/>
        <family val="2"/>
      </rPr>
      <t>x</t>
    </r>
    <r>
      <rPr>
        <sz val="12"/>
        <rFont val="Arial"/>
        <family val="2"/>
      </rPr>
      <t xml:space="preserve"> = 0,85</t>
    </r>
  </si>
  <si>
    <r>
      <t>Y</t>
    </r>
    <r>
      <rPr>
        <vertAlign val="subscript"/>
        <sz val="12"/>
        <rFont val="Arial"/>
        <family val="2"/>
      </rPr>
      <t>x</t>
    </r>
    <r>
      <rPr>
        <sz val="12"/>
        <rFont val="Arial"/>
        <family val="2"/>
      </rPr>
      <t xml:space="preserve"> =1,05 - 0,01*m</t>
    </r>
    <r>
      <rPr>
        <vertAlign val="subscript"/>
        <sz val="12"/>
        <rFont val="Arial"/>
        <family val="2"/>
      </rPr>
      <t>n</t>
    </r>
  </si>
  <si>
    <r>
      <t>Y</t>
    </r>
    <r>
      <rPr>
        <vertAlign val="subscript"/>
        <sz val="12"/>
        <rFont val="Arial"/>
        <family val="2"/>
      </rPr>
      <t>x</t>
    </r>
    <r>
      <rPr>
        <sz val="12"/>
        <rFont val="Arial"/>
        <family val="2"/>
      </rPr>
      <t xml:space="preserve"> = 0,80</t>
    </r>
  </si>
  <si>
    <r>
      <t>s</t>
    </r>
    <r>
      <rPr>
        <vertAlign val="subscript"/>
        <sz val="12"/>
        <color indexed="10"/>
        <rFont val="Arial"/>
        <family val="2"/>
      </rPr>
      <t>Hhe</t>
    </r>
    <r>
      <rPr>
        <sz val="12"/>
        <color indexed="10"/>
        <rFont val="Arial"/>
        <family val="2"/>
      </rPr>
      <t xml:space="preserve"> =</t>
    </r>
  </si>
  <si>
    <r>
      <t>K</t>
    </r>
    <r>
      <rPr>
        <vertAlign val="subscript"/>
        <sz val="12"/>
        <color indexed="10"/>
        <rFont val="Arial"/>
        <family val="2"/>
      </rPr>
      <t>IS</t>
    </r>
    <r>
      <rPr>
        <sz val="12"/>
        <color indexed="10"/>
        <rFont val="Arial"/>
        <family val="2"/>
      </rPr>
      <t xml:space="preserve"> =</t>
    </r>
  </si>
  <si>
    <r>
      <t>K</t>
    </r>
    <r>
      <rPr>
        <vertAlign val="subscript"/>
        <sz val="12"/>
        <color indexed="10"/>
        <rFont val="Arial"/>
        <family val="2"/>
      </rPr>
      <t>H</t>
    </r>
    <r>
      <rPr>
        <vertAlign val="subscript"/>
        <sz val="12"/>
        <color indexed="10"/>
        <rFont val="Symbol"/>
        <family val="1"/>
      </rPr>
      <t>a</t>
    </r>
    <r>
      <rPr>
        <sz val="12"/>
        <color indexed="10"/>
        <rFont val="Arial"/>
        <family val="2"/>
      </rPr>
      <t xml:space="preserve"> =</t>
    </r>
  </si>
  <si>
    <r>
      <t>s</t>
    </r>
    <r>
      <rPr>
        <vertAlign val="subscript"/>
        <sz val="12"/>
        <rFont val="Arial"/>
        <family val="2"/>
      </rPr>
      <t>HG1</t>
    </r>
  </si>
  <si>
    <r>
      <t>s</t>
    </r>
    <r>
      <rPr>
        <vertAlign val="subscript"/>
        <sz val="12"/>
        <color indexed="10"/>
        <rFont val="Arial"/>
        <family val="2"/>
      </rPr>
      <t xml:space="preserve">HG1 </t>
    </r>
    <r>
      <rPr>
        <sz val="12"/>
        <color indexed="10"/>
        <rFont val="Arial"/>
        <family val="2"/>
      </rPr>
      <t>=</t>
    </r>
  </si>
  <si>
    <r>
      <t>Z</t>
    </r>
    <r>
      <rPr>
        <vertAlign val="subscript"/>
        <sz val="12"/>
        <color indexed="10"/>
        <rFont val="Arial"/>
        <family val="2"/>
      </rPr>
      <t>b</t>
    </r>
    <r>
      <rPr>
        <sz val="12"/>
        <color indexed="10"/>
        <rFont val="Arial"/>
        <family val="2"/>
      </rPr>
      <t xml:space="preserve"> =</t>
    </r>
  </si>
  <si>
    <t>Ft =</t>
  </si>
  <si>
    <r>
      <t>Z</t>
    </r>
    <r>
      <rPr>
        <vertAlign val="subscript"/>
        <sz val="12"/>
        <color indexed="10"/>
        <rFont val="Arial"/>
        <family val="2"/>
      </rPr>
      <t>H</t>
    </r>
    <r>
      <rPr>
        <sz val="12"/>
        <color indexed="10"/>
        <rFont val="Arial"/>
        <family val="2"/>
      </rPr>
      <t xml:space="preserve"> =</t>
    </r>
  </si>
  <si>
    <r>
      <t>Z</t>
    </r>
    <r>
      <rPr>
        <vertAlign val="subscript"/>
        <sz val="12"/>
        <color indexed="10"/>
        <rFont val="Arial"/>
        <family val="2"/>
      </rPr>
      <t xml:space="preserve">E </t>
    </r>
    <r>
      <rPr>
        <sz val="12"/>
        <color indexed="10"/>
        <rFont val="Arial"/>
        <family val="2"/>
      </rPr>
      <t>=</t>
    </r>
  </si>
  <si>
    <r>
      <t>Z</t>
    </r>
    <r>
      <rPr>
        <vertAlign val="subscript"/>
        <sz val="12"/>
        <rFont val="Arial"/>
        <family val="2"/>
      </rPr>
      <t>e</t>
    </r>
  </si>
  <si>
    <t>Düz disliler</t>
  </si>
  <si>
    <r>
      <t>Z</t>
    </r>
    <r>
      <rPr>
        <vertAlign val="subscript"/>
        <sz val="12"/>
        <rFont val="Arial"/>
        <family val="2"/>
      </rPr>
      <t>e</t>
    </r>
    <r>
      <rPr>
        <sz val="12"/>
        <rFont val="Arial"/>
        <family val="2"/>
      </rPr>
      <t xml:space="preserve"> =</t>
    </r>
  </si>
  <si>
    <t>Helis disliler</t>
  </si>
  <si>
    <r>
      <t>Z</t>
    </r>
    <r>
      <rPr>
        <vertAlign val="subscript"/>
        <sz val="12"/>
        <rFont val="Arial"/>
        <family val="2"/>
      </rPr>
      <t>b</t>
    </r>
  </si>
  <si>
    <r>
      <t>Z</t>
    </r>
    <r>
      <rPr>
        <vertAlign val="subscript"/>
        <sz val="12"/>
        <color indexed="10"/>
        <rFont val="Symbol"/>
        <family val="1"/>
      </rPr>
      <t>b</t>
    </r>
    <r>
      <rPr>
        <sz val="12"/>
        <color indexed="10"/>
        <rFont val="Arial"/>
        <family val="2"/>
      </rPr>
      <t xml:space="preserve"> =</t>
    </r>
  </si>
  <si>
    <t>cosb =</t>
  </si>
  <si>
    <r>
      <t>tana</t>
    </r>
    <r>
      <rPr>
        <vertAlign val="subscript"/>
        <sz val="12"/>
        <rFont val="Arial"/>
        <family val="2"/>
      </rPr>
      <t xml:space="preserve">wt </t>
    </r>
    <r>
      <rPr>
        <sz val="12"/>
        <rFont val="Arial"/>
        <family val="2"/>
      </rPr>
      <t>=</t>
    </r>
  </si>
  <si>
    <r>
      <t>cosb</t>
    </r>
    <r>
      <rPr>
        <vertAlign val="subscript"/>
        <sz val="12"/>
        <rFont val="Arial"/>
        <family val="2"/>
      </rPr>
      <t xml:space="preserve">b </t>
    </r>
    <r>
      <rPr>
        <sz val="12"/>
        <rFont val="Arial"/>
        <family val="2"/>
      </rPr>
      <t>=</t>
    </r>
  </si>
  <si>
    <r>
      <t>s</t>
    </r>
    <r>
      <rPr>
        <vertAlign val="subscript"/>
        <sz val="12"/>
        <color indexed="10"/>
        <rFont val="Arial"/>
        <family val="2"/>
      </rPr>
      <t>HG1</t>
    </r>
    <r>
      <rPr>
        <sz val="12"/>
        <color indexed="10"/>
        <rFont val="Arial"/>
        <family val="2"/>
      </rPr>
      <t xml:space="preserve"> =</t>
    </r>
  </si>
  <si>
    <r>
      <t>s</t>
    </r>
    <r>
      <rPr>
        <vertAlign val="subscript"/>
        <sz val="12"/>
        <color indexed="10"/>
        <rFont val="Arial"/>
        <family val="2"/>
      </rPr>
      <t>HG2</t>
    </r>
    <r>
      <rPr>
        <sz val="12"/>
        <color indexed="10"/>
        <rFont val="Arial"/>
        <family val="2"/>
      </rPr>
      <t xml:space="preserve"> =</t>
    </r>
  </si>
  <si>
    <r>
      <t>Z</t>
    </r>
    <r>
      <rPr>
        <vertAlign val="subscript"/>
        <sz val="12"/>
        <color indexed="10"/>
        <rFont val="Arial"/>
        <family val="2"/>
      </rPr>
      <t>NT</t>
    </r>
    <r>
      <rPr>
        <sz val="12"/>
        <color indexed="10"/>
        <rFont val="Arial"/>
        <family val="2"/>
      </rPr>
      <t xml:space="preserve"> =</t>
    </r>
  </si>
  <si>
    <r>
      <t>Z</t>
    </r>
    <r>
      <rPr>
        <vertAlign val="subscript"/>
        <sz val="12"/>
        <color indexed="10"/>
        <rFont val="Arial"/>
        <family val="2"/>
      </rPr>
      <t>L</t>
    </r>
    <r>
      <rPr>
        <sz val="12"/>
        <color indexed="10"/>
        <rFont val="Arial"/>
        <family val="2"/>
      </rPr>
      <t xml:space="preserve"> =</t>
    </r>
  </si>
  <si>
    <r>
      <t>Z</t>
    </r>
    <r>
      <rPr>
        <vertAlign val="subscript"/>
        <sz val="12"/>
        <color indexed="10"/>
        <rFont val="Arial"/>
        <family val="2"/>
      </rPr>
      <t>V</t>
    </r>
    <r>
      <rPr>
        <sz val="12"/>
        <color indexed="10"/>
        <rFont val="Arial"/>
        <family val="2"/>
      </rPr>
      <t xml:space="preserve"> =</t>
    </r>
  </si>
  <si>
    <r>
      <t>Z</t>
    </r>
    <r>
      <rPr>
        <vertAlign val="subscript"/>
        <sz val="12"/>
        <color indexed="10"/>
        <rFont val="Arial"/>
        <family val="2"/>
      </rPr>
      <t>R</t>
    </r>
    <r>
      <rPr>
        <sz val="12"/>
        <color indexed="10"/>
        <rFont val="Arial"/>
        <family val="2"/>
      </rPr>
      <t xml:space="preserve"> =</t>
    </r>
  </si>
  <si>
    <r>
      <t>Z</t>
    </r>
    <r>
      <rPr>
        <vertAlign val="subscript"/>
        <sz val="12"/>
        <color indexed="10"/>
        <rFont val="Arial"/>
        <family val="2"/>
      </rPr>
      <t>W</t>
    </r>
    <r>
      <rPr>
        <sz val="12"/>
        <color indexed="10"/>
        <rFont val="Arial"/>
        <family val="2"/>
      </rPr>
      <t xml:space="preserve"> =</t>
    </r>
  </si>
  <si>
    <r>
      <t>Z</t>
    </r>
    <r>
      <rPr>
        <vertAlign val="subscript"/>
        <sz val="12"/>
        <color indexed="10"/>
        <rFont val="Arial"/>
        <family val="2"/>
      </rPr>
      <t xml:space="preserve">x </t>
    </r>
    <r>
      <rPr>
        <sz val="12"/>
        <color indexed="10"/>
        <rFont val="Arial"/>
        <family val="2"/>
      </rPr>
      <t>=</t>
    </r>
  </si>
  <si>
    <r>
      <t>Z</t>
    </r>
    <r>
      <rPr>
        <vertAlign val="subscript"/>
        <sz val="12"/>
        <rFont val="Arial"/>
        <family val="2"/>
      </rPr>
      <t>NT</t>
    </r>
  </si>
  <si>
    <t>Yükleme sayısı</t>
  </si>
  <si>
    <r>
      <t>Dayanma süresi faktörü ” Z</t>
    </r>
    <r>
      <rPr>
        <vertAlign val="subscript"/>
        <sz val="12"/>
        <rFont val="Arial"/>
        <family val="2"/>
      </rPr>
      <t>NT</t>
    </r>
    <r>
      <rPr>
        <sz val="12"/>
        <rFont val="Arial"/>
        <family val="2"/>
      </rPr>
      <t xml:space="preserve"> ”</t>
    </r>
  </si>
  <si>
    <r>
      <t>N</t>
    </r>
    <r>
      <rPr>
        <vertAlign val="subscript"/>
        <sz val="12"/>
        <rFont val="Arial"/>
        <family val="2"/>
      </rPr>
      <t>L</t>
    </r>
    <r>
      <rPr>
        <sz val="12"/>
        <rFont val="Arial"/>
        <family val="2"/>
      </rPr>
      <t xml:space="preserve"> &lt; 10</t>
    </r>
    <r>
      <rPr>
        <vertAlign val="superscript"/>
        <sz val="12"/>
        <rFont val="Arial"/>
        <family val="2"/>
      </rPr>
      <t>5</t>
    </r>
  </si>
  <si>
    <r>
      <t>Z</t>
    </r>
    <r>
      <rPr>
        <vertAlign val="subscript"/>
        <sz val="12"/>
        <rFont val="Arial"/>
        <family val="2"/>
      </rPr>
      <t>NT</t>
    </r>
    <r>
      <rPr>
        <sz val="12"/>
        <rFont val="Arial"/>
        <family val="2"/>
      </rPr>
      <t xml:space="preserve"> = 1,6</t>
    </r>
  </si>
  <si>
    <r>
      <t>10</t>
    </r>
    <r>
      <rPr>
        <vertAlign val="superscript"/>
        <sz val="12"/>
        <rFont val="Arial"/>
        <family val="2"/>
      </rPr>
      <t>5</t>
    </r>
    <r>
      <rPr>
        <sz val="12"/>
        <rFont val="Arial"/>
        <family val="2"/>
      </rPr>
      <t xml:space="preserve"> &lt; N</t>
    </r>
    <r>
      <rPr>
        <vertAlign val="subscript"/>
        <sz val="12"/>
        <rFont val="Arial"/>
        <family val="2"/>
      </rPr>
      <t>L</t>
    </r>
    <r>
      <rPr>
        <sz val="12"/>
        <rFont val="Arial"/>
        <family val="2"/>
      </rPr>
      <t xml:space="preserve"> &lt; 5.10</t>
    </r>
    <r>
      <rPr>
        <vertAlign val="superscript"/>
        <sz val="12"/>
        <rFont val="Arial"/>
        <family val="2"/>
      </rPr>
      <t>7</t>
    </r>
  </si>
  <si>
    <r>
      <t>Z</t>
    </r>
    <r>
      <rPr>
        <vertAlign val="subscript"/>
        <sz val="12"/>
        <rFont val="Arial"/>
        <family val="2"/>
      </rPr>
      <t>NT</t>
    </r>
    <r>
      <rPr>
        <sz val="12"/>
        <rFont val="Arial"/>
        <family val="2"/>
      </rPr>
      <t xml:space="preserve"> = (5.10</t>
    </r>
    <r>
      <rPr>
        <vertAlign val="superscript"/>
        <sz val="12"/>
        <rFont val="Arial"/>
        <family val="2"/>
      </rPr>
      <t>7</t>
    </r>
    <r>
      <rPr>
        <sz val="12"/>
        <rFont val="Arial"/>
        <family val="2"/>
      </rPr>
      <t xml:space="preserve"> / N</t>
    </r>
    <r>
      <rPr>
        <vertAlign val="subscript"/>
        <sz val="12"/>
        <rFont val="Arial"/>
        <family val="2"/>
      </rPr>
      <t>L</t>
    </r>
    <r>
      <rPr>
        <sz val="12"/>
        <rFont val="Arial"/>
        <family val="2"/>
      </rPr>
      <t xml:space="preserve"> )</t>
    </r>
    <r>
      <rPr>
        <vertAlign val="superscript"/>
        <sz val="12"/>
        <rFont val="Arial"/>
        <family val="2"/>
      </rPr>
      <t>0,0756</t>
    </r>
  </si>
  <si>
    <r>
      <t>5.10</t>
    </r>
    <r>
      <rPr>
        <vertAlign val="superscript"/>
        <sz val="12"/>
        <rFont val="Arial"/>
        <family val="2"/>
      </rPr>
      <t>7</t>
    </r>
    <r>
      <rPr>
        <sz val="12"/>
        <rFont val="Arial"/>
        <family val="2"/>
      </rPr>
      <t xml:space="preserve"> &lt; N</t>
    </r>
    <r>
      <rPr>
        <vertAlign val="subscript"/>
        <sz val="12"/>
        <rFont val="Arial"/>
        <family val="2"/>
      </rPr>
      <t>L</t>
    </r>
  </si>
  <si>
    <r>
      <t>Z</t>
    </r>
    <r>
      <rPr>
        <vertAlign val="subscript"/>
        <sz val="12"/>
        <rFont val="Arial"/>
        <family val="2"/>
      </rPr>
      <t>NT</t>
    </r>
    <r>
      <rPr>
        <sz val="12"/>
        <rFont val="Arial"/>
        <family val="2"/>
      </rPr>
      <t xml:space="preserve"> = 1,0</t>
    </r>
  </si>
  <si>
    <r>
      <t>Z</t>
    </r>
    <r>
      <rPr>
        <vertAlign val="subscript"/>
        <sz val="12"/>
        <rFont val="Arial"/>
        <family val="2"/>
      </rPr>
      <t>L501</t>
    </r>
    <r>
      <rPr>
        <sz val="12"/>
        <rFont val="Arial"/>
        <family val="2"/>
      </rPr>
      <t xml:space="preserve"> =</t>
    </r>
  </si>
  <si>
    <r>
      <t>Z</t>
    </r>
    <r>
      <rPr>
        <vertAlign val="subscript"/>
        <sz val="12"/>
        <rFont val="Arial"/>
        <family val="2"/>
      </rPr>
      <t>L502</t>
    </r>
    <r>
      <rPr>
        <sz val="12"/>
        <rFont val="Arial"/>
        <family val="2"/>
      </rPr>
      <t xml:space="preserve"> =</t>
    </r>
  </si>
  <si>
    <r>
      <t>Z</t>
    </r>
    <r>
      <rPr>
        <vertAlign val="subscript"/>
        <sz val="12"/>
        <rFont val="Arial"/>
        <family val="2"/>
      </rPr>
      <t>L401</t>
    </r>
    <r>
      <rPr>
        <sz val="12"/>
        <rFont val="Arial"/>
        <family val="2"/>
      </rPr>
      <t xml:space="preserve"> =</t>
    </r>
  </si>
  <si>
    <r>
      <t>Z</t>
    </r>
    <r>
      <rPr>
        <vertAlign val="subscript"/>
        <sz val="12"/>
        <rFont val="Arial"/>
        <family val="2"/>
      </rPr>
      <t>L402</t>
    </r>
    <r>
      <rPr>
        <sz val="12"/>
        <rFont val="Arial"/>
        <family val="2"/>
      </rPr>
      <t xml:space="preserve"> =</t>
    </r>
  </si>
  <si>
    <r>
      <t>C</t>
    </r>
    <r>
      <rPr>
        <vertAlign val="subscript"/>
        <sz val="12"/>
        <rFont val="Arial"/>
        <family val="2"/>
      </rPr>
      <t>ZL1</t>
    </r>
    <r>
      <rPr>
        <sz val="12"/>
        <rFont val="Arial"/>
        <family val="2"/>
      </rPr>
      <t xml:space="preserve"> =</t>
    </r>
  </si>
  <si>
    <r>
      <t>C</t>
    </r>
    <r>
      <rPr>
        <vertAlign val="subscript"/>
        <sz val="12"/>
        <rFont val="Arial"/>
        <family val="2"/>
      </rPr>
      <t>ZL2</t>
    </r>
    <r>
      <rPr>
        <sz val="12"/>
        <rFont val="Arial"/>
        <family val="2"/>
      </rPr>
      <t xml:space="preserve"> =</t>
    </r>
  </si>
  <si>
    <r>
      <t>Z</t>
    </r>
    <r>
      <rPr>
        <vertAlign val="subscript"/>
        <sz val="12"/>
        <rFont val="Arial"/>
        <family val="2"/>
      </rPr>
      <t>V1</t>
    </r>
    <r>
      <rPr>
        <sz val="12"/>
        <rFont val="Arial"/>
        <family val="2"/>
      </rPr>
      <t xml:space="preserve"> =</t>
    </r>
  </si>
  <si>
    <r>
      <t>Z</t>
    </r>
    <r>
      <rPr>
        <vertAlign val="subscript"/>
        <sz val="12"/>
        <rFont val="Arial"/>
        <family val="2"/>
      </rPr>
      <t>V2</t>
    </r>
    <r>
      <rPr>
        <sz val="12"/>
        <rFont val="Arial"/>
        <family val="2"/>
      </rPr>
      <t xml:space="preserve"> =</t>
    </r>
  </si>
  <si>
    <t>m/sek</t>
  </si>
  <si>
    <r>
      <t>C</t>
    </r>
    <r>
      <rPr>
        <vertAlign val="subscript"/>
        <sz val="12"/>
        <rFont val="Arial"/>
        <family val="2"/>
      </rPr>
      <t>Zv1</t>
    </r>
    <r>
      <rPr>
        <sz val="12"/>
        <rFont val="Arial"/>
        <family val="2"/>
      </rPr>
      <t xml:space="preserve"> =</t>
    </r>
  </si>
  <si>
    <r>
      <t>C</t>
    </r>
    <r>
      <rPr>
        <vertAlign val="subscript"/>
        <sz val="12"/>
        <rFont val="Arial"/>
        <family val="2"/>
      </rPr>
      <t>Zv2</t>
    </r>
    <r>
      <rPr>
        <sz val="12"/>
        <rFont val="Arial"/>
        <family val="2"/>
      </rPr>
      <t xml:space="preserve"> =</t>
    </r>
  </si>
  <si>
    <r>
      <t>Z</t>
    </r>
    <r>
      <rPr>
        <vertAlign val="subscript"/>
        <sz val="12"/>
        <rFont val="Arial"/>
        <family val="2"/>
      </rPr>
      <t>R1</t>
    </r>
    <r>
      <rPr>
        <sz val="12"/>
        <rFont val="Arial"/>
        <family val="2"/>
      </rPr>
      <t xml:space="preserve"> =</t>
    </r>
  </si>
  <si>
    <t>a =</t>
  </si>
  <si>
    <r>
      <t>Z</t>
    </r>
    <r>
      <rPr>
        <vertAlign val="subscript"/>
        <sz val="12"/>
        <rFont val="Arial"/>
        <family val="2"/>
      </rPr>
      <t>R2</t>
    </r>
    <r>
      <rPr>
        <sz val="12"/>
        <rFont val="Arial"/>
        <family val="2"/>
      </rPr>
      <t xml:space="preserve"> =</t>
    </r>
  </si>
  <si>
    <r>
      <t>R</t>
    </r>
    <r>
      <rPr>
        <vertAlign val="subscript"/>
        <sz val="12"/>
        <rFont val="Arial"/>
        <family val="2"/>
      </rPr>
      <t>z1</t>
    </r>
    <r>
      <rPr>
        <sz val="12"/>
        <rFont val="Arial"/>
        <family val="2"/>
      </rPr>
      <t xml:space="preserve"> =</t>
    </r>
  </si>
  <si>
    <r>
      <t>R</t>
    </r>
    <r>
      <rPr>
        <vertAlign val="subscript"/>
        <sz val="12"/>
        <rFont val="Arial"/>
        <family val="2"/>
      </rPr>
      <t>z100</t>
    </r>
    <r>
      <rPr>
        <sz val="12"/>
        <rFont val="Arial"/>
        <family val="2"/>
      </rPr>
      <t xml:space="preserve"> =</t>
    </r>
  </si>
  <si>
    <r>
      <t>R</t>
    </r>
    <r>
      <rPr>
        <vertAlign val="subscript"/>
        <sz val="12"/>
        <rFont val="Arial"/>
        <family val="2"/>
      </rPr>
      <t>z2</t>
    </r>
    <r>
      <rPr>
        <sz val="12"/>
        <rFont val="Arial"/>
        <family val="2"/>
      </rPr>
      <t xml:space="preserve"> =</t>
    </r>
  </si>
  <si>
    <r>
      <t>C</t>
    </r>
    <r>
      <rPr>
        <vertAlign val="subscript"/>
        <sz val="12"/>
        <rFont val="Arial"/>
        <family val="2"/>
      </rPr>
      <t>zR1</t>
    </r>
    <r>
      <rPr>
        <sz val="12"/>
        <rFont val="Arial"/>
        <family val="2"/>
      </rPr>
      <t xml:space="preserve"> =</t>
    </r>
  </si>
  <si>
    <r>
      <t>C</t>
    </r>
    <r>
      <rPr>
        <vertAlign val="subscript"/>
        <sz val="12"/>
        <rFont val="Arial"/>
        <family val="2"/>
      </rPr>
      <t>zR2</t>
    </r>
    <r>
      <rPr>
        <sz val="12"/>
        <rFont val="Arial"/>
        <family val="2"/>
      </rPr>
      <t xml:space="preserve"> =</t>
    </r>
  </si>
  <si>
    <r>
      <t>Z</t>
    </r>
    <r>
      <rPr>
        <vertAlign val="subscript"/>
        <sz val="12"/>
        <rFont val="Arial"/>
        <family val="2"/>
      </rPr>
      <t>W</t>
    </r>
  </si>
  <si>
    <r>
      <t>Z</t>
    </r>
    <r>
      <rPr>
        <vertAlign val="subscript"/>
        <sz val="12"/>
        <rFont val="Arial"/>
        <family val="2"/>
      </rPr>
      <t>W1</t>
    </r>
    <r>
      <rPr>
        <sz val="12"/>
        <rFont val="Arial"/>
        <family val="2"/>
      </rPr>
      <t xml:space="preserve"> =</t>
    </r>
  </si>
  <si>
    <r>
      <t>Z</t>
    </r>
    <r>
      <rPr>
        <vertAlign val="subscript"/>
        <sz val="12"/>
        <rFont val="Arial"/>
        <family val="2"/>
      </rPr>
      <t>W2</t>
    </r>
    <r>
      <rPr>
        <sz val="12"/>
        <rFont val="Arial"/>
        <family val="2"/>
      </rPr>
      <t xml:space="preserve"> =</t>
    </r>
  </si>
  <si>
    <r>
      <t>Z</t>
    </r>
    <r>
      <rPr>
        <vertAlign val="subscript"/>
        <sz val="12"/>
        <rFont val="Arial"/>
        <family val="2"/>
      </rPr>
      <t>x</t>
    </r>
  </si>
  <si>
    <r>
      <t>m</t>
    </r>
    <r>
      <rPr>
        <vertAlign val="subscript"/>
        <sz val="12"/>
        <rFont val="Arial"/>
        <family val="2"/>
      </rPr>
      <t>n</t>
    </r>
    <r>
      <rPr>
        <sz val="12"/>
        <rFont val="Arial"/>
        <family val="2"/>
      </rPr>
      <t xml:space="preserve"> &lt; 7</t>
    </r>
  </si>
  <si>
    <r>
      <t>7 &lt; m</t>
    </r>
    <r>
      <rPr>
        <vertAlign val="subscript"/>
        <sz val="12"/>
        <rFont val="Arial"/>
        <family val="2"/>
      </rPr>
      <t>n</t>
    </r>
    <r>
      <rPr>
        <sz val="12"/>
        <rFont val="Arial"/>
        <family val="2"/>
      </rPr>
      <t xml:space="preserve"> &lt; 30</t>
    </r>
  </si>
  <si>
    <r>
      <t>m</t>
    </r>
    <r>
      <rPr>
        <vertAlign val="subscript"/>
        <sz val="12"/>
        <rFont val="Arial"/>
        <family val="2"/>
      </rPr>
      <t>n</t>
    </r>
    <r>
      <rPr>
        <sz val="12"/>
        <rFont val="Arial"/>
        <family val="2"/>
      </rPr>
      <t xml:space="preserve"> &gt; 30</t>
    </r>
  </si>
  <si>
    <r>
      <t>Z</t>
    </r>
    <r>
      <rPr>
        <vertAlign val="subscript"/>
        <sz val="12"/>
        <rFont val="Arial"/>
        <family val="2"/>
      </rPr>
      <t>x</t>
    </r>
    <r>
      <rPr>
        <sz val="12"/>
        <rFont val="Arial"/>
        <family val="2"/>
      </rPr>
      <t xml:space="preserve"> = 1</t>
    </r>
  </si>
  <si>
    <r>
      <t>Y</t>
    </r>
    <r>
      <rPr>
        <vertAlign val="subscript"/>
        <sz val="12"/>
        <rFont val="Arial"/>
        <family val="2"/>
      </rPr>
      <t>x</t>
    </r>
    <r>
      <rPr>
        <sz val="12"/>
        <rFont val="Arial"/>
        <family val="2"/>
      </rPr>
      <t xml:space="preserve"> = 0,90</t>
    </r>
  </si>
  <si>
    <r>
      <t>Y</t>
    </r>
    <r>
      <rPr>
        <vertAlign val="subscript"/>
        <sz val="12"/>
        <rFont val="Arial"/>
        <family val="2"/>
      </rPr>
      <t>x</t>
    </r>
    <r>
      <rPr>
        <sz val="12"/>
        <rFont val="Arial"/>
        <family val="2"/>
      </rPr>
      <t xml:space="preserve"> = 0,75</t>
    </r>
  </si>
  <si>
    <t>0,7...1,0</t>
  </si>
  <si>
    <t>0,5...0,7</t>
  </si>
  <si>
    <t>1,4...1,5</t>
  </si>
  <si>
    <t>0,8...1,2</t>
  </si>
  <si>
    <t>1,2...1,4</t>
  </si>
  <si>
    <t>0,8...1,0</t>
  </si>
  <si>
    <t>1,8</t>
  </si>
  <si>
    <t>1,3</t>
  </si>
  <si>
    <t>1,6...3,0</t>
  </si>
  <si>
    <t>1,3...1,6</t>
  </si>
  <si>
    <t>1,4...2,0</t>
  </si>
  <si>
    <t>I</t>
  </si>
  <si>
    <t>II</t>
  </si>
  <si>
    <t>III</t>
  </si>
  <si>
    <t>IV</t>
  </si>
  <si>
    <t>A</t>
  </si>
  <si>
    <t>1,25</t>
  </si>
  <si>
    <t>1,5</t>
  </si>
  <si>
    <t>B</t>
  </si>
  <si>
    <t>1,35</t>
  </si>
  <si>
    <t>1,75</t>
  </si>
  <si>
    <t>C</t>
  </si>
  <si>
    <t>1,6</t>
  </si>
  <si>
    <t>&gt;2,0</t>
  </si>
  <si>
    <t>1,85</t>
  </si>
  <si>
    <t>2,0</t>
  </si>
  <si>
    <t>&gt;2,25</t>
  </si>
  <si>
    <t>İşletme faktörü dişli çarkın kullanıldığı işletmedeki kuvvetlerin dalgalanmasını ve tahrik elemanı ile tahrik edilen makinanın zorlanma dalgalanmalarını belirler.</t>
  </si>
  <si>
    <t>Der Anwendungsfaktor berücksichtigt den Einfluss der Belastungsschwankungen von der An- und Abtriebsmaschine. Wenn der Anwendungsfaktor bekannt ist, geben Sie ihn ein, sonst benützen Sie die folgenden Tabellenwerte.</t>
  </si>
  <si>
    <t>The application factor considers the influence of the varying load conditions from the drive and driving machine. If the application factor is known, you enter him, otherwise, you use the following table values.</t>
  </si>
  <si>
    <t>Örneğin: Rayda çalışan makinalar, jeneratörler, ceraskallar, takım tezgahları, makaslar, presler, lastik bantlı konveyyörler, hafif yük asansörleri, turbo kompresör, turbo körük, havalandırıcılar, homojen yoğunluklu madde karıştırıcıları ve  yoğurucuları, ...</t>
  </si>
  <si>
    <t>z. B. :Schienenfahrzeuge, Generatoren, Elektroflaschenzüge, Werkzeugmaschinen, Scheren, Pressen, Stanzmaschine, Gurtförderer, leichte Aufzüge, Turboverdichter, Turbobläse, Lüfter, Rührer und Mischer für Stoffe mit gleichmässiger Dichte, ...</t>
  </si>
  <si>
    <t>For example; railway vehicle, generators, hoist, light machine tools, shears, presses, punching machine, band conveyor, light lifts, turbocompressor, turbo blower, exhauster, agitator  and mixing machine for constant density, ...</t>
  </si>
  <si>
    <t>Örneğin: Yol inşaat makinaları, yük asansörleri, çelik bantlı konveyyörler, inşaat asansörleri, vinç dönüş mekanizmaları, tambur kurutucular, boru hattı pompaları, planyalar, homojen yoğunluklta olmayan madde karıştırıcı ve yoğurucuları, endüstiri ve maden ocağı havalandırıcıları, Santrafuj pompalar, çok silindirli pistonlu pompalar, ...</t>
  </si>
  <si>
    <t>z. B. : Strassenbaumaschinen, Lastaufzüge, Gutförderer mit Stahlband, Bauaufzüge, Drehwerke von Kränen, Trockenmaschienen, Zuteilpumpen, Hobelmaschinen, Rührer und Mischer für Stoffe mit ungleichmässiger Dichte, Industrie- und Grubenlüfter, Kreiselpumpen,  Kolbenpumpen mit mehrerern Zylindern,  ...</t>
  </si>
  <si>
    <t>For example; Road-building machinery, burden elevators, property conveyor with steel tape, builder's hoists, knack factories of cranes, dry milliampere splint, assigning pumps, planers, mixers and mixers for cloths with uneven density, industry and mine fan, centrifugal pumps, reciprocating pumps with several coils, ...</t>
  </si>
  <si>
    <t>Örneğin: Hafif akışkanlı çalkalayıcılar, santrfujlar, Lastik bantlı konveyyörler, kovalı elevatörler, vantilatörler, ağaç işleme makinaları, vinç yürüyüşleri, dönüş tertibatları, takım tezgahları yardımcı tahrikleri, şişe ve kavanoz doldurma makinaları, ambalaj makinaları, hafif akışkan türbinler, ...</t>
  </si>
  <si>
    <t>z.B. : Hubwerke von Kränen, Holzbearbeitungsmaschinen, Kugelmühlen, Einzylinder-Kolbenpumpen, Extruder für Gummi, Mischer mit unterbrochenem Betrieb  (Gummi, Kunststoffe).</t>
  </si>
  <si>
    <t>For example; Lifting gears of cranes, woodworking machines, bullet mills, single-cylinder reciprocating pumps, extruder for rubber, mixer with intermittent company (rubbers, epoxies), ...</t>
  </si>
  <si>
    <t>Örneğin: Zincirli kovalı ekskavatörler, paletli yürüyüşler, kovalı çarklar, kesici kafalar, kuyu açma mekanizmaları, insan asansörleri, eğik asansörler, yoğurma ve silindirleme makinaları, vinçler ve bumlar, şahmerdanlar, planyalar, presler, makaslar, sıcak basma presleri, haddeler, ağaç işleme makinaları, şerit testereler, tuğla ve briket presleri, şeker kamışı öğütücüleri, pistonlu pompalar ve kompresörler, kırıcılar, değirmenler, ...</t>
  </si>
  <si>
    <t>z.B. : Bagger, schwere Kugelmühlen, Gummikneter, Brecher (Stein, Erz), Hüttenmaschinen, Ziegelpressen, Brikettpressen, Schälmaschinen, Rotary-Bohranlagen, Kaltbandwalzwerke, u.s.w.</t>
  </si>
  <si>
    <t>For example; Diggers, heavy bullet mills, rubber knead, breakers (stone, ore), steel machines, brick moulding machines, briquette presses, decorticators, Rotary oil-well drilling installations, cold tape mills, …</t>
  </si>
  <si>
    <r>
      <t>A</t>
    </r>
    <r>
      <rPr>
        <vertAlign val="subscript"/>
        <sz val="10"/>
        <rFont val="Arial"/>
        <family val="2"/>
      </rPr>
      <t>a</t>
    </r>
  </si>
  <si>
    <r>
      <t>A</t>
    </r>
    <r>
      <rPr>
        <vertAlign val="subscript"/>
        <sz val="10"/>
        <rFont val="Arial"/>
        <family val="2"/>
      </rPr>
      <t>sne</t>
    </r>
  </si>
  <si>
    <r>
      <t>T</t>
    </r>
    <r>
      <rPr>
        <vertAlign val="subscript"/>
        <sz val="10"/>
        <rFont val="Arial"/>
        <family val="2"/>
      </rPr>
      <t>sn</t>
    </r>
  </si>
  <si>
    <r>
      <t>e</t>
    </r>
    <r>
      <rPr>
        <vertAlign val="subscript"/>
        <sz val="12"/>
        <rFont val="Symbol"/>
        <family val="1"/>
      </rPr>
      <t>b</t>
    </r>
    <r>
      <rPr>
        <sz val="12"/>
        <rFont val="Arial"/>
        <family val="2"/>
      </rPr>
      <t xml:space="preserve"> &gt;1</t>
    </r>
  </si>
  <si>
    <r>
      <t xml:space="preserve">b </t>
    </r>
    <r>
      <rPr>
        <sz val="12"/>
        <rFont val="Arial"/>
        <family val="2"/>
      </rPr>
      <t>= 0</t>
    </r>
  </si>
  <si>
    <r>
      <t>n</t>
    </r>
    <r>
      <rPr>
        <sz val="12"/>
        <rFont val="Arial"/>
        <family val="2"/>
      </rPr>
      <t xml:space="preserve"> =</t>
    </r>
  </si>
  <si>
    <r>
      <t>e</t>
    </r>
    <r>
      <rPr>
        <vertAlign val="subscript"/>
        <sz val="12"/>
        <rFont val="Symbol"/>
        <family val="1"/>
      </rPr>
      <t>a</t>
    </r>
    <r>
      <rPr>
        <vertAlign val="subscript"/>
        <sz val="12"/>
        <rFont val="Arial"/>
        <family val="2"/>
      </rPr>
      <t>n1</t>
    </r>
  </si>
  <si>
    <r>
      <t xml:space="preserve">h </t>
    </r>
    <r>
      <rPr>
        <vertAlign val="subscript"/>
        <sz val="12"/>
        <rFont val="Arial"/>
        <family val="2"/>
      </rPr>
      <t>tot</t>
    </r>
  </si>
  <si>
    <r>
      <t xml:space="preserve">h </t>
    </r>
    <r>
      <rPr>
        <vertAlign val="subscript"/>
        <sz val="12"/>
        <color indexed="10"/>
        <rFont val="Arial"/>
        <family val="2"/>
      </rPr>
      <t>tot =</t>
    </r>
  </si>
  <si>
    <r>
      <t>m</t>
    </r>
    <r>
      <rPr>
        <vertAlign val="subscript"/>
        <sz val="12"/>
        <color indexed="10"/>
        <rFont val="Arial"/>
        <family val="2"/>
      </rPr>
      <t>n</t>
    </r>
    <r>
      <rPr>
        <sz val="12"/>
        <color indexed="10"/>
        <rFont val="Arial"/>
        <family val="2"/>
      </rPr>
      <t xml:space="preserve"> =</t>
    </r>
  </si>
  <si>
    <r>
      <t>d</t>
    </r>
    <r>
      <rPr>
        <vertAlign val="subscript"/>
        <sz val="12"/>
        <color indexed="10"/>
        <rFont val="Arial"/>
        <family val="2"/>
      </rPr>
      <t>a1</t>
    </r>
    <r>
      <rPr>
        <sz val="12"/>
        <color indexed="10"/>
        <rFont val="Arial"/>
        <family val="2"/>
      </rPr>
      <t xml:space="preserve"> =</t>
    </r>
  </si>
  <si>
    <r>
      <t>d</t>
    </r>
    <r>
      <rPr>
        <vertAlign val="subscript"/>
        <sz val="12"/>
        <color indexed="10"/>
        <rFont val="Arial"/>
        <family val="2"/>
      </rPr>
      <t>a2</t>
    </r>
    <r>
      <rPr>
        <sz val="12"/>
        <color indexed="10"/>
        <rFont val="Arial"/>
        <family val="2"/>
      </rPr>
      <t xml:space="preserve"> =</t>
    </r>
  </si>
  <si>
    <r>
      <t>d</t>
    </r>
    <r>
      <rPr>
        <vertAlign val="subscript"/>
        <sz val="12"/>
        <color indexed="10"/>
        <rFont val="Arial"/>
        <family val="2"/>
      </rPr>
      <t>1</t>
    </r>
    <r>
      <rPr>
        <sz val="12"/>
        <color indexed="10"/>
        <rFont val="Arial"/>
        <family val="2"/>
      </rPr>
      <t xml:space="preserve"> =</t>
    </r>
  </si>
  <si>
    <r>
      <t>d</t>
    </r>
    <r>
      <rPr>
        <vertAlign val="subscript"/>
        <sz val="12"/>
        <color indexed="10"/>
        <rFont val="Arial"/>
        <family val="2"/>
      </rPr>
      <t>2</t>
    </r>
    <r>
      <rPr>
        <sz val="12"/>
        <color indexed="10"/>
        <rFont val="Arial"/>
        <family val="2"/>
      </rPr>
      <t xml:space="preserve"> =</t>
    </r>
  </si>
  <si>
    <r>
      <t>x</t>
    </r>
    <r>
      <rPr>
        <vertAlign val="subscript"/>
        <sz val="12"/>
        <color indexed="10"/>
        <rFont val="Arial"/>
        <family val="2"/>
      </rPr>
      <t>2</t>
    </r>
    <r>
      <rPr>
        <sz val="12"/>
        <color indexed="10"/>
        <rFont val="Arial"/>
        <family val="2"/>
      </rPr>
      <t xml:space="preserve"> =</t>
    </r>
  </si>
  <si>
    <r>
      <t>x</t>
    </r>
    <r>
      <rPr>
        <vertAlign val="subscript"/>
        <sz val="12"/>
        <color indexed="10"/>
        <rFont val="Arial"/>
        <family val="2"/>
      </rPr>
      <t>1</t>
    </r>
    <r>
      <rPr>
        <sz val="12"/>
        <color indexed="10"/>
        <rFont val="Arial"/>
        <family val="2"/>
      </rPr>
      <t xml:space="preserve"> =</t>
    </r>
  </si>
  <si>
    <r>
      <t>b</t>
    </r>
    <r>
      <rPr>
        <sz val="12"/>
        <color indexed="10"/>
        <rFont val="Arial"/>
        <family val="2"/>
      </rPr>
      <t xml:space="preserve"> =</t>
    </r>
  </si>
  <si>
    <r>
      <t>Rz</t>
    </r>
    <r>
      <rPr>
        <vertAlign val="subscript"/>
        <sz val="12"/>
        <color indexed="10"/>
        <rFont val="Arial"/>
        <family val="2"/>
      </rPr>
      <t>1</t>
    </r>
    <r>
      <rPr>
        <sz val="12"/>
        <color indexed="10"/>
        <rFont val="Arial"/>
        <family val="2"/>
      </rPr>
      <t xml:space="preserve"> =</t>
    </r>
  </si>
  <si>
    <r>
      <t>Rz</t>
    </r>
    <r>
      <rPr>
        <vertAlign val="subscript"/>
        <sz val="12"/>
        <color indexed="10"/>
        <rFont val="Arial"/>
        <family val="2"/>
      </rPr>
      <t>2</t>
    </r>
    <r>
      <rPr>
        <sz val="12"/>
        <color indexed="10"/>
        <rFont val="Arial"/>
        <family val="2"/>
      </rPr>
      <t xml:space="preserve"> =</t>
    </r>
  </si>
  <si>
    <r>
      <t>n</t>
    </r>
    <r>
      <rPr>
        <vertAlign val="subscript"/>
        <sz val="12"/>
        <color indexed="10"/>
        <rFont val="Arial"/>
        <family val="2"/>
      </rPr>
      <t>1</t>
    </r>
    <r>
      <rPr>
        <sz val="12"/>
        <color indexed="10"/>
        <rFont val="Arial"/>
        <family val="2"/>
      </rPr>
      <t xml:space="preserve"> =</t>
    </r>
  </si>
  <si>
    <r>
      <t>E</t>
    </r>
    <r>
      <rPr>
        <vertAlign val="subscript"/>
        <sz val="12"/>
        <color indexed="10"/>
        <rFont val="Arial"/>
        <family val="2"/>
      </rPr>
      <t>1</t>
    </r>
    <r>
      <rPr>
        <sz val="12"/>
        <color indexed="10"/>
        <rFont val="Arial"/>
        <family val="2"/>
      </rPr>
      <t xml:space="preserve"> =</t>
    </r>
  </si>
  <si>
    <r>
      <t>n</t>
    </r>
    <r>
      <rPr>
        <vertAlign val="subscript"/>
        <sz val="12"/>
        <color indexed="10"/>
        <rFont val="Arial"/>
        <family val="2"/>
      </rPr>
      <t>2</t>
    </r>
    <r>
      <rPr>
        <sz val="12"/>
        <color indexed="10"/>
        <rFont val="Arial"/>
        <family val="2"/>
      </rPr>
      <t xml:space="preserve"> =</t>
    </r>
  </si>
  <si>
    <r>
      <t>E</t>
    </r>
    <r>
      <rPr>
        <vertAlign val="subscript"/>
        <sz val="12"/>
        <color indexed="10"/>
        <rFont val="Arial"/>
        <family val="2"/>
      </rPr>
      <t>2</t>
    </r>
    <r>
      <rPr>
        <sz val="12"/>
        <color indexed="10"/>
        <rFont val="Arial"/>
        <family val="2"/>
      </rPr>
      <t xml:space="preserve"> =</t>
    </r>
  </si>
  <si>
    <r>
      <t>n</t>
    </r>
    <r>
      <rPr>
        <sz val="12"/>
        <color indexed="10"/>
        <rFont val="Arial"/>
        <family val="2"/>
      </rPr>
      <t xml:space="preserve"> =</t>
    </r>
  </si>
  <si>
    <r>
      <t>HB</t>
    </r>
    <r>
      <rPr>
        <vertAlign val="subscript"/>
        <sz val="12"/>
        <color indexed="10"/>
        <rFont val="Arial"/>
        <family val="2"/>
      </rPr>
      <t>1</t>
    </r>
    <r>
      <rPr>
        <sz val="12"/>
        <color indexed="10"/>
        <rFont val="Arial"/>
        <family val="2"/>
      </rPr>
      <t xml:space="preserve"> =</t>
    </r>
  </si>
  <si>
    <r>
      <t>HB</t>
    </r>
    <r>
      <rPr>
        <vertAlign val="subscript"/>
        <sz val="12"/>
        <color indexed="10"/>
        <rFont val="Arial"/>
        <family val="2"/>
      </rPr>
      <t>2</t>
    </r>
    <r>
      <rPr>
        <sz val="12"/>
        <color indexed="10"/>
        <rFont val="Arial"/>
        <family val="2"/>
      </rPr>
      <t xml:space="preserve"> =</t>
    </r>
  </si>
  <si>
    <r>
      <t>z</t>
    </r>
    <r>
      <rPr>
        <vertAlign val="subscript"/>
        <sz val="12"/>
        <color indexed="10"/>
        <rFont val="Arial"/>
        <family val="2"/>
      </rPr>
      <t>1</t>
    </r>
    <r>
      <rPr>
        <sz val="12"/>
        <color indexed="10"/>
        <rFont val="Arial"/>
        <family val="2"/>
      </rPr>
      <t xml:space="preserve"> =</t>
    </r>
  </si>
  <si>
    <r>
      <t>n</t>
    </r>
    <r>
      <rPr>
        <vertAlign val="subscript"/>
        <sz val="10"/>
        <rFont val="Arial"/>
        <family val="2"/>
      </rPr>
      <t xml:space="preserve"> </t>
    </r>
    <r>
      <rPr>
        <sz val="10"/>
        <rFont val="Arial"/>
        <family val="2"/>
      </rPr>
      <t>=</t>
    </r>
  </si>
  <si>
    <t>min-1</t>
  </si>
  <si>
    <t>d1=</t>
  </si>
  <si>
    <r>
      <t>e</t>
    </r>
    <r>
      <rPr>
        <vertAlign val="subscript"/>
        <sz val="12"/>
        <color indexed="10"/>
        <rFont val="Symbol"/>
        <family val="1"/>
      </rPr>
      <t>a</t>
    </r>
    <r>
      <rPr>
        <vertAlign val="subscript"/>
        <sz val="12"/>
        <color indexed="10"/>
        <rFont val="Arial"/>
        <family val="2"/>
      </rPr>
      <t>n</t>
    </r>
    <r>
      <rPr>
        <sz val="12"/>
        <color indexed="10"/>
        <rFont val="Arial"/>
        <family val="2"/>
      </rPr>
      <t xml:space="preserve"> =</t>
    </r>
  </si>
  <si>
    <r>
      <t>e</t>
    </r>
    <r>
      <rPr>
        <vertAlign val="subscript"/>
        <sz val="12"/>
        <color indexed="10"/>
        <rFont val="Symbol"/>
        <family val="1"/>
      </rPr>
      <t>b</t>
    </r>
    <r>
      <rPr>
        <sz val="12"/>
        <color indexed="10"/>
        <rFont val="Arial"/>
        <family val="2"/>
      </rPr>
      <t xml:space="preserve"> =</t>
    </r>
  </si>
  <si>
    <r>
      <t>cos</t>
    </r>
    <r>
      <rPr>
        <sz val="12"/>
        <rFont val="Symbol"/>
        <family val="1"/>
      </rPr>
      <t>a</t>
    </r>
    <r>
      <rPr>
        <vertAlign val="subscript"/>
        <sz val="12"/>
        <rFont val="Arial"/>
        <family val="2"/>
      </rPr>
      <t xml:space="preserve">t </t>
    </r>
    <r>
      <rPr>
        <sz val="12"/>
        <rFont val="Arial"/>
        <family val="2"/>
      </rPr>
      <t>=</t>
    </r>
  </si>
  <si>
    <r>
      <t>b</t>
    </r>
    <r>
      <rPr>
        <vertAlign val="subscript"/>
        <sz val="12"/>
        <color indexed="10"/>
        <rFont val="Arial"/>
        <family val="2"/>
      </rPr>
      <t xml:space="preserve">b </t>
    </r>
    <r>
      <rPr>
        <sz val="12"/>
        <color indexed="10"/>
        <rFont val="Arial"/>
        <family val="2"/>
      </rPr>
      <t>=</t>
    </r>
  </si>
  <si>
    <r>
      <t>a</t>
    </r>
    <r>
      <rPr>
        <vertAlign val="subscript"/>
        <sz val="12"/>
        <color indexed="10"/>
        <rFont val="Arial"/>
        <family val="2"/>
      </rPr>
      <t xml:space="preserve">wt </t>
    </r>
    <r>
      <rPr>
        <sz val="12"/>
        <color indexed="10"/>
        <rFont val="Arial"/>
        <family val="2"/>
      </rPr>
      <t>=</t>
    </r>
  </si>
  <si>
    <r>
      <t>a</t>
    </r>
    <r>
      <rPr>
        <vertAlign val="subscript"/>
        <sz val="12"/>
        <color indexed="10"/>
        <rFont val="Arial"/>
        <family val="2"/>
      </rPr>
      <t xml:space="preserve">t </t>
    </r>
    <r>
      <rPr>
        <sz val="12"/>
        <color indexed="10"/>
        <rFont val="Arial"/>
        <family val="2"/>
      </rPr>
      <t>=</t>
    </r>
  </si>
  <si>
    <r>
      <t>s</t>
    </r>
    <r>
      <rPr>
        <vertAlign val="subscript"/>
        <sz val="12"/>
        <rFont val="Arial"/>
        <family val="2"/>
      </rPr>
      <t>Hlim1</t>
    </r>
    <r>
      <rPr>
        <sz val="12"/>
        <rFont val="Arial"/>
        <family val="2"/>
      </rPr>
      <t xml:space="preserve"> =</t>
    </r>
  </si>
  <si>
    <r>
      <t>s</t>
    </r>
    <r>
      <rPr>
        <vertAlign val="subscript"/>
        <sz val="12"/>
        <rFont val="Arial"/>
        <family val="2"/>
      </rPr>
      <t>Hlim2</t>
    </r>
    <r>
      <rPr>
        <sz val="12"/>
        <rFont val="Arial"/>
        <family val="2"/>
      </rPr>
      <t xml:space="preserve"> =</t>
    </r>
  </si>
  <si>
    <r>
      <t>S</t>
    </r>
    <r>
      <rPr>
        <vertAlign val="subscript"/>
        <sz val="12"/>
        <color indexed="10"/>
        <rFont val="Arial"/>
        <family val="2"/>
      </rPr>
      <t>Fn1</t>
    </r>
    <r>
      <rPr>
        <sz val="12"/>
        <color indexed="10"/>
        <rFont val="Arial"/>
        <family val="2"/>
      </rPr>
      <t>/m</t>
    </r>
    <r>
      <rPr>
        <vertAlign val="subscript"/>
        <sz val="12"/>
        <color indexed="10"/>
        <rFont val="Arial"/>
        <family val="2"/>
      </rPr>
      <t>n</t>
    </r>
    <r>
      <rPr>
        <sz val="12"/>
        <color indexed="10"/>
        <rFont val="Arial"/>
        <family val="2"/>
      </rPr>
      <t xml:space="preserve"> =</t>
    </r>
  </si>
  <si>
    <r>
      <t>S</t>
    </r>
    <r>
      <rPr>
        <vertAlign val="subscript"/>
        <sz val="12"/>
        <color indexed="10"/>
        <rFont val="Arial"/>
        <family val="2"/>
      </rPr>
      <t>Fn2</t>
    </r>
    <r>
      <rPr>
        <sz val="12"/>
        <color indexed="10"/>
        <rFont val="Arial"/>
        <family val="2"/>
      </rPr>
      <t>/m</t>
    </r>
    <r>
      <rPr>
        <vertAlign val="subscript"/>
        <sz val="12"/>
        <color indexed="10"/>
        <rFont val="Arial"/>
        <family val="2"/>
      </rPr>
      <t>n</t>
    </r>
    <r>
      <rPr>
        <sz val="12"/>
        <color indexed="10"/>
        <rFont val="Arial"/>
        <family val="2"/>
      </rPr>
      <t xml:space="preserve"> =</t>
    </r>
  </si>
  <si>
    <r>
      <t>cos</t>
    </r>
    <r>
      <rPr>
        <sz val="12"/>
        <color indexed="10"/>
        <rFont val="Symbol"/>
        <family val="1"/>
      </rPr>
      <t>a</t>
    </r>
    <r>
      <rPr>
        <vertAlign val="subscript"/>
        <sz val="12"/>
        <color indexed="10"/>
        <rFont val="Arial"/>
        <family val="2"/>
      </rPr>
      <t>Fan1</t>
    </r>
    <r>
      <rPr>
        <sz val="12"/>
        <color indexed="10"/>
        <rFont val="Arial"/>
        <family val="2"/>
      </rPr>
      <t xml:space="preserve"> =</t>
    </r>
  </si>
  <si>
    <r>
      <t>cos</t>
    </r>
    <r>
      <rPr>
        <sz val="12"/>
        <color indexed="10"/>
        <rFont val="Symbol"/>
        <family val="1"/>
      </rPr>
      <t>a</t>
    </r>
    <r>
      <rPr>
        <vertAlign val="subscript"/>
        <sz val="12"/>
        <color indexed="10"/>
        <rFont val="Arial"/>
        <family val="2"/>
      </rPr>
      <t>Fan2</t>
    </r>
    <r>
      <rPr>
        <sz val="12"/>
        <color indexed="10"/>
        <rFont val="Arial"/>
        <family val="2"/>
      </rPr>
      <t xml:space="preserve"> =</t>
    </r>
  </si>
  <si>
    <r>
      <t xml:space="preserve">tan </t>
    </r>
    <r>
      <rPr>
        <sz val="12"/>
        <rFont val="Symbol"/>
        <family val="1"/>
      </rPr>
      <t>a</t>
    </r>
    <r>
      <rPr>
        <vertAlign val="subscript"/>
        <sz val="12"/>
        <rFont val="Arial"/>
        <family val="2"/>
      </rPr>
      <t>n</t>
    </r>
    <r>
      <rPr>
        <sz val="12"/>
        <rFont val="Arial"/>
        <family val="2"/>
      </rPr>
      <t xml:space="preserve"> =</t>
    </r>
  </si>
  <si>
    <r>
      <t xml:space="preserve">cos </t>
    </r>
    <r>
      <rPr>
        <sz val="12"/>
        <color indexed="10"/>
        <rFont val="Symbol"/>
        <family val="1"/>
      </rPr>
      <t>a</t>
    </r>
    <r>
      <rPr>
        <vertAlign val="subscript"/>
        <sz val="12"/>
        <color indexed="10"/>
        <rFont val="Arial"/>
        <family val="2"/>
      </rPr>
      <t>n</t>
    </r>
    <r>
      <rPr>
        <sz val="12"/>
        <color indexed="10"/>
        <rFont val="Arial"/>
        <family val="2"/>
      </rPr>
      <t xml:space="preserve"> =</t>
    </r>
  </si>
  <si>
    <r>
      <t>y</t>
    </r>
    <r>
      <rPr>
        <vertAlign val="subscript"/>
        <sz val="12"/>
        <rFont val="Arial"/>
        <family val="2"/>
      </rPr>
      <t xml:space="preserve">b1 </t>
    </r>
    <r>
      <rPr>
        <sz val="12"/>
        <rFont val="Arial"/>
        <family val="2"/>
      </rPr>
      <t>=</t>
    </r>
  </si>
  <si>
    <r>
      <t>y</t>
    </r>
    <r>
      <rPr>
        <vertAlign val="subscript"/>
        <sz val="12"/>
        <rFont val="Arial"/>
        <family val="2"/>
      </rPr>
      <t>b2</t>
    </r>
    <r>
      <rPr>
        <sz val="12"/>
        <rFont val="Arial"/>
        <family val="2"/>
      </rPr>
      <t xml:space="preserve"> =</t>
    </r>
  </si>
  <si>
    <r>
      <t>F</t>
    </r>
    <r>
      <rPr>
        <vertAlign val="subscript"/>
        <sz val="12"/>
        <rFont val="Symbol"/>
        <family val="1"/>
      </rPr>
      <t>b</t>
    </r>
    <r>
      <rPr>
        <vertAlign val="subscript"/>
        <sz val="12"/>
        <rFont val="Arial"/>
        <family val="2"/>
      </rPr>
      <t>x</t>
    </r>
    <r>
      <rPr>
        <sz val="12"/>
        <rFont val="Arial"/>
        <family val="2"/>
      </rPr>
      <t xml:space="preserve"> - y</t>
    </r>
    <r>
      <rPr>
        <vertAlign val="subscript"/>
        <sz val="12"/>
        <rFont val="Arial"/>
        <family val="2"/>
      </rPr>
      <t>b</t>
    </r>
  </si>
  <si>
    <r>
      <t>f</t>
    </r>
    <r>
      <rPr>
        <vertAlign val="subscript"/>
        <sz val="12"/>
        <color indexed="10"/>
        <rFont val="Arial"/>
        <family val="2"/>
      </rPr>
      <t>sh</t>
    </r>
    <r>
      <rPr>
        <sz val="12"/>
        <color indexed="10"/>
        <rFont val="Arial"/>
        <family val="2"/>
      </rPr>
      <t xml:space="preserve"> </t>
    </r>
  </si>
  <si>
    <r>
      <t>e</t>
    </r>
    <r>
      <rPr>
        <vertAlign val="subscript"/>
        <sz val="12"/>
        <color indexed="10"/>
        <rFont val="Symbol"/>
        <family val="1"/>
      </rPr>
      <t>b</t>
    </r>
    <r>
      <rPr>
        <vertAlign val="subscript"/>
        <sz val="12"/>
        <color indexed="10"/>
        <rFont val="Arial"/>
        <family val="2"/>
      </rPr>
      <t xml:space="preserve"> </t>
    </r>
    <r>
      <rPr>
        <sz val="12"/>
        <color indexed="10"/>
        <rFont val="Arial"/>
        <family val="2"/>
      </rPr>
      <t>=</t>
    </r>
  </si>
  <si>
    <r>
      <t>e</t>
    </r>
    <r>
      <rPr>
        <vertAlign val="subscript"/>
        <sz val="12"/>
        <color indexed="10"/>
        <rFont val="Symbol"/>
        <family val="1"/>
      </rPr>
      <t>a</t>
    </r>
    <r>
      <rPr>
        <vertAlign val="subscript"/>
        <sz val="12"/>
        <color indexed="10"/>
        <rFont val="Arial"/>
        <family val="2"/>
      </rPr>
      <t xml:space="preserve"> </t>
    </r>
    <r>
      <rPr>
        <sz val="12"/>
        <color indexed="10"/>
        <rFont val="Arial"/>
        <family val="2"/>
      </rPr>
      <t>=</t>
    </r>
  </si>
  <si>
    <r>
      <t>s</t>
    </r>
    <r>
      <rPr>
        <vertAlign val="subscript"/>
        <sz val="12"/>
        <rFont val="Arial"/>
        <family val="2"/>
      </rPr>
      <t>Hlim</t>
    </r>
    <r>
      <rPr>
        <sz val="12"/>
        <rFont val="Arial"/>
        <family val="2"/>
      </rPr>
      <t xml:space="preserve"> =</t>
    </r>
  </si>
  <si>
    <r>
      <t>s</t>
    </r>
    <r>
      <rPr>
        <vertAlign val="subscript"/>
        <sz val="12"/>
        <rFont val="Arial"/>
        <family val="2"/>
      </rPr>
      <t xml:space="preserve">Hlim1 </t>
    </r>
    <r>
      <rPr>
        <sz val="12"/>
        <rFont val="Arial"/>
        <family val="2"/>
      </rPr>
      <t xml:space="preserve">= </t>
    </r>
  </si>
  <si>
    <r>
      <t>s</t>
    </r>
    <r>
      <rPr>
        <vertAlign val="subscript"/>
        <sz val="12"/>
        <rFont val="Arial"/>
        <family val="2"/>
      </rPr>
      <t xml:space="preserve">Hlim2 </t>
    </r>
    <r>
      <rPr>
        <sz val="12"/>
        <rFont val="Arial"/>
        <family val="2"/>
      </rPr>
      <t xml:space="preserve">= </t>
    </r>
  </si>
  <si>
    <r>
      <t>s</t>
    </r>
    <r>
      <rPr>
        <vertAlign val="subscript"/>
        <sz val="12"/>
        <rFont val="Arial"/>
        <family val="2"/>
      </rPr>
      <t>Flim1</t>
    </r>
    <r>
      <rPr>
        <sz val="12"/>
        <rFont val="Arial"/>
        <family val="2"/>
      </rPr>
      <t xml:space="preserve"> =</t>
    </r>
  </si>
  <si>
    <r>
      <t>s</t>
    </r>
    <r>
      <rPr>
        <vertAlign val="subscript"/>
        <sz val="12"/>
        <rFont val="Arial"/>
        <family val="2"/>
      </rPr>
      <t>Flim2</t>
    </r>
    <r>
      <rPr>
        <sz val="12"/>
        <rFont val="Arial"/>
        <family val="2"/>
      </rPr>
      <t xml:space="preserve"> =</t>
    </r>
  </si>
  <si>
    <r>
      <t>cosa</t>
    </r>
    <r>
      <rPr>
        <vertAlign val="subscript"/>
        <sz val="12"/>
        <rFont val="Arial"/>
        <family val="2"/>
      </rPr>
      <t xml:space="preserve">t </t>
    </r>
    <r>
      <rPr>
        <sz val="12"/>
        <rFont val="Arial"/>
        <family val="2"/>
      </rPr>
      <t>=</t>
    </r>
  </si>
  <si>
    <t>Copyright : M. G. Kutay , Ver 10.02</t>
  </si>
  <si>
    <r>
      <t>mm</t>
    </r>
    <r>
      <rPr>
        <vertAlign val="superscript"/>
        <sz val="10"/>
        <rFont val="Arial"/>
        <family val="2"/>
      </rPr>
      <t>2</t>
    </r>
    <r>
      <rPr>
        <sz val="10"/>
        <rFont val="Arial"/>
        <family val="2"/>
      </rPr>
      <t>/s</t>
    </r>
  </si>
</sst>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quot;SFr.&quot;\ * #,##0.00_ ;_ &quot;SFr.&quot;\ * \-#,##0.00_ ;_ &quot;SFr.&quot;\ * &quot;-&quot;??_ ;_ @_ "/>
    <numFmt numFmtId="186" formatCode="0.0"/>
    <numFmt numFmtId="187" formatCode="0.000"/>
    <numFmt numFmtId="188" formatCode="0.0000"/>
    <numFmt numFmtId="189" formatCode="0.00000"/>
    <numFmt numFmtId="190" formatCode="0.00\ &quot;mm&quot;"/>
    <numFmt numFmtId="191" formatCode="0.0\ &quot;mm&quot;"/>
    <numFmt numFmtId="192" formatCode="0.0000\ &quot;°&quot;"/>
    <numFmt numFmtId="193" formatCode="0&quot;)&quot;"/>
    <numFmt numFmtId="194" formatCode="General&quot; mm&quot;"/>
    <numFmt numFmtId="195" formatCode="0.0&quot;)**&quot;"/>
    <numFmt numFmtId="196" formatCode="0\ &quot; °&quot;"/>
    <numFmt numFmtId="197" formatCode="0&quot; mm&quot;"/>
    <numFmt numFmtId="198" formatCode="0&quot; HB&quot;"/>
    <numFmt numFmtId="199" formatCode="&quot;±&quot;0.0000&quot; mm&quot;"/>
    <numFmt numFmtId="200" formatCode="0.0&quot; µm&quot;\ "/>
    <numFmt numFmtId="201" formatCode="0.000000&quot; mm&quot;"/>
    <numFmt numFmtId="202" formatCode="0.0\ "/>
    <numFmt numFmtId="203" formatCode="0.000000&quot; °&quot;"/>
    <numFmt numFmtId="204" formatCode="0.000000"/>
    <numFmt numFmtId="205" formatCode="#0.00000\ "/>
    <numFmt numFmtId="206" formatCode="0.000&quot; mm&quot;"/>
    <numFmt numFmtId="207" formatCode="&quot;js &quot;0"/>
    <numFmt numFmtId="208" formatCode="#0.000"/>
    <numFmt numFmtId="209" formatCode="&quot;±&quot;0.0&quot; µm&quot;"/>
    <numFmt numFmtId="210" formatCode="0&quot; µm&quot;"/>
    <numFmt numFmtId="211" formatCode="&quot;0.&quot;0&quot;)&quot;"/>
    <numFmt numFmtId="212" formatCode="0.0000&quot; °&quot;"/>
    <numFmt numFmtId="213" formatCode="&quot;-&quot;000&quot; µm&quot;"/>
    <numFmt numFmtId="214" formatCode="000&quot; µm&quot;"/>
    <numFmt numFmtId="215" formatCode="#0.000000"/>
    <numFmt numFmtId="216" formatCode="0\ &quot;)&quot;"/>
    <numFmt numFmtId="217" formatCode="0\ \ &quot;*)1&quot;"/>
    <numFmt numFmtId="218" formatCode="0\ \ &quot;*)2&quot;"/>
    <numFmt numFmtId="219" formatCode="0.0\ &quot;°&quot;"/>
    <numFmt numFmtId="220" formatCode="&quot;±&quot;0.0000"/>
    <numFmt numFmtId="221" formatCode="#0.000000000"/>
    <numFmt numFmtId="222" formatCode="&quot;&lt; &quot;\ ##"/>
    <numFmt numFmtId="223" formatCode="&quot;&gt; &quot;\ ##"/>
    <numFmt numFmtId="224" formatCode="0.0\ &quot;N/mm2&quot;"/>
    <numFmt numFmtId="225" formatCode="&quot;±&quot;0.000&quot; mm&quot;"/>
  </numFmts>
  <fonts count="63">
    <font>
      <sz val="10"/>
      <name val="Arial"/>
      <family val="2"/>
    </font>
    <font>
      <b/>
      <sz val="10"/>
      <name val="MS Sans Serif"/>
      <family val="0"/>
    </font>
    <font>
      <i/>
      <sz val="10"/>
      <name val="MS Sans Serif"/>
      <family val="0"/>
    </font>
    <font>
      <b/>
      <i/>
      <sz val="10"/>
      <name val="MS Sans Serif"/>
      <family val="0"/>
    </font>
    <font>
      <sz val="10"/>
      <name val="MS Sans Serif"/>
      <family val="0"/>
    </font>
    <font>
      <sz val="9.5"/>
      <name val="MS Sans Serif"/>
      <family val="2"/>
    </font>
    <font>
      <sz val="10"/>
      <color indexed="10"/>
      <name val="Arial"/>
      <family val="2"/>
    </font>
    <font>
      <b/>
      <sz val="10"/>
      <color indexed="10"/>
      <name val="Arial"/>
      <family val="2"/>
    </font>
    <font>
      <sz val="10"/>
      <color indexed="17"/>
      <name val="Arial"/>
      <family val="2"/>
    </font>
    <font>
      <sz val="10"/>
      <color indexed="12"/>
      <name val="Arial"/>
      <family val="2"/>
    </font>
    <font>
      <sz val="10"/>
      <color indexed="10"/>
      <name val="MS Sans Serif"/>
      <family val="2"/>
    </font>
    <font>
      <sz val="10"/>
      <name val="Symbol"/>
      <family val="1"/>
    </font>
    <font>
      <b/>
      <sz val="16"/>
      <color indexed="10"/>
      <name val="Arial"/>
      <family val="2"/>
    </font>
    <font>
      <b/>
      <sz val="10"/>
      <color indexed="56"/>
      <name val="Arial"/>
      <family val="2"/>
    </font>
    <font>
      <vertAlign val="subscript"/>
      <sz val="10"/>
      <name val="Arial"/>
      <family val="2"/>
    </font>
    <font>
      <sz val="12"/>
      <name val="Symbol"/>
      <family val="1"/>
    </font>
    <font>
      <vertAlign val="subscript"/>
      <sz val="12"/>
      <name val="Arial"/>
      <family val="2"/>
    </font>
    <font>
      <vertAlign val="subscript"/>
      <sz val="10"/>
      <name val="Symbol"/>
      <family val="1"/>
    </font>
    <font>
      <vertAlign val="superscript"/>
      <sz val="10"/>
      <name val="Arial"/>
      <family val="2"/>
    </font>
    <font>
      <sz val="12"/>
      <name val="Arial"/>
      <family val="2"/>
    </font>
    <font>
      <vertAlign val="subscript"/>
      <sz val="12"/>
      <name val="Symbol"/>
      <family val="1"/>
    </font>
    <font>
      <sz val="10"/>
      <color indexed="39"/>
      <name val="Arial"/>
      <family val="2"/>
    </font>
    <font>
      <b/>
      <sz val="12"/>
      <color indexed="39"/>
      <name val="Arial"/>
      <family val="2"/>
    </font>
    <font>
      <u val="single"/>
      <sz val="8.5"/>
      <color indexed="12"/>
      <name val="Arial"/>
      <family val="2"/>
    </font>
    <font>
      <u val="single"/>
      <sz val="8.5"/>
      <color indexed="36"/>
      <name val="Arial"/>
      <family val="2"/>
    </font>
    <font>
      <b/>
      <sz val="12"/>
      <color indexed="10"/>
      <name val="Arial"/>
      <family val="2"/>
    </font>
    <font>
      <b/>
      <sz val="10"/>
      <color indexed="39"/>
      <name val="Arial"/>
      <family val="2"/>
    </font>
    <font>
      <b/>
      <sz val="12"/>
      <name val="Arial"/>
      <family val="2"/>
    </font>
    <font>
      <b/>
      <sz val="10"/>
      <color indexed="17"/>
      <name val="Arial"/>
      <family val="2"/>
    </font>
    <font>
      <b/>
      <sz val="10"/>
      <color indexed="17"/>
      <name val="MS Sans Serif"/>
      <family val="2"/>
    </font>
    <font>
      <sz val="10"/>
      <color indexed="39"/>
      <name val="MS Sans Serif"/>
      <family val="0"/>
    </font>
    <font>
      <b/>
      <sz val="12"/>
      <color indexed="50"/>
      <name val="Arial"/>
      <family val="2"/>
    </font>
    <font>
      <b/>
      <sz val="10"/>
      <color indexed="50"/>
      <name val="Arial"/>
      <family val="2"/>
    </font>
    <font>
      <b/>
      <sz val="16"/>
      <color indexed="39"/>
      <name val="Arial"/>
      <family val="2"/>
    </font>
    <font>
      <b/>
      <sz val="16"/>
      <color indexed="50"/>
      <name val="Arial"/>
      <family val="2"/>
    </font>
    <font>
      <sz val="10"/>
      <color indexed="50"/>
      <name val="Arial"/>
      <family val="2"/>
    </font>
    <font>
      <b/>
      <sz val="12"/>
      <color indexed="56"/>
      <name val="Arial"/>
      <family val="2"/>
    </font>
    <font>
      <b/>
      <i/>
      <sz val="12"/>
      <color indexed="10"/>
      <name val="Arial"/>
      <family val="2"/>
    </font>
    <font>
      <i/>
      <sz val="12"/>
      <color indexed="10"/>
      <name val="Arial"/>
      <family val="2"/>
    </font>
    <font>
      <b/>
      <sz val="48"/>
      <color indexed="10"/>
      <name val="Arial"/>
      <family val="2"/>
    </font>
    <font>
      <sz val="12"/>
      <color indexed="10"/>
      <name val="Arial"/>
      <family val="2"/>
    </font>
    <font>
      <sz val="12"/>
      <color indexed="12"/>
      <name val="Arial"/>
      <family val="2"/>
    </font>
    <font>
      <b/>
      <sz val="14"/>
      <color indexed="10"/>
      <name val="Arial"/>
      <family val="2"/>
    </font>
    <font>
      <b/>
      <sz val="12"/>
      <color indexed="12"/>
      <name val="Arial"/>
      <family val="2"/>
    </font>
    <font>
      <sz val="12"/>
      <color indexed="12"/>
      <name val="Symbol"/>
      <family val="1"/>
    </font>
    <font>
      <b/>
      <sz val="10"/>
      <name val="Arial"/>
      <family val="2"/>
    </font>
    <font>
      <b/>
      <i/>
      <sz val="11"/>
      <color indexed="10"/>
      <name val="Arial"/>
      <family val="2"/>
    </font>
    <font>
      <b/>
      <sz val="10"/>
      <color indexed="10"/>
      <name val="MS Sans Serif"/>
      <family val="0"/>
    </font>
    <font>
      <b/>
      <i/>
      <sz val="12"/>
      <color indexed="10"/>
      <name val="Arial Narrow"/>
      <family val="2"/>
    </font>
    <font>
      <vertAlign val="subscript"/>
      <sz val="10"/>
      <color indexed="10"/>
      <name val="Arial"/>
      <family val="2"/>
    </font>
    <font>
      <vertAlign val="subscript"/>
      <sz val="12"/>
      <color indexed="10"/>
      <name val="Arial"/>
      <family val="2"/>
    </font>
    <font>
      <sz val="12"/>
      <name val="Times New Roman"/>
      <family val="1"/>
    </font>
    <font>
      <sz val="14"/>
      <name val="Times New Roman"/>
      <family val="1"/>
    </font>
    <font>
      <vertAlign val="subscript"/>
      <sz val="12"/>
      <color indexed="10"/>
      <name val="Symbol"/>
      <family val="1"/>
    </font>
    <font>
      <sz val="14"/>
      <color indexed="10"/>
      <name val="Times New Roman"/>
      <family val="1"/>
    </font>
    <font>
      <b/>
      <vertAlign val="subscript"/>
      <sz val="12"/>
      <name val="Arial"/>
      <family val="2"/>
    </font>
    <font>
      <b/>
      <vertAlign val="subscript"/>
      <sz val="12"/>
      <name val="Symbol"/>
      <family val="1"/>
    </font>
    <font>
      <vertAlign val="superscript"/>
      <sz val="12"/>
      <name val="Arial"/>
      <family val="2"/>
    </font>
    <font>
      <sz val="12"/>
      <color indexed="10"/>
      <name val="Symbol"/>
      <family val="1"/>
    </font>
    <font>
      <b/>
      <i/>
      <sz val="10"/>
      <color indexed="10"/>
      <name val="Arial"/>
      <family val="2"/>
    </font>
    <font>
      <b/>
      <sz val="12"/>
      <name val="Times New Roman"/>
      <family val="1"/>
    </font>
    <font>
      <sz val="10"/>
      <color indexed="10"/>
      <name val="Symbol"/>
      <family val="1"/>
    </font>
    <font>
      <sz val="9"/>
      <color indexed="10"/>
      <name val="Arial"/>
      <family val="2"/>
    </font>
  </fonts>
  <fills count="10">
    <fill>
      <patternFill/>
    </fill>
    <fill>
      <patternFill patternType="gray125"/>
    </fill>
    <fill>
      <patternFill patternType="lightGray">
        <fgColor indexed="13"/>
      </patternFill>
    </fill>
    <fill>
      <patternFill patternType="solid">
        <fgColor indexed="65"/>
        <bgColor indexed="64"/>
      </patternFill>
    </fill>
    <fill>
      <patternFill patternType="lightGray">
        <fgColor indexed="11"/>
      </patternFill>
    </fill>
    <fill>
      <patternFill patternType="lightGray">
        <fgColor indexed="15"/>
      </patternFill>
    </fill>
    <fill>
      <patternFill patternType="lightGray">
        <fgColor indexed="41"/>
      </patternFill>
    </fill>
    <fill>
      <patternFill patternType="solid">
        <fgColor indexed="13"/>
        <bgColor indexed="64"/>
      </patternFill>
    </fill>
    <fill>
      <patternFill patternType="solid">
        <fgColor indexed="65"/>
        <bgColor indexed="64"/>
      </patternFill>
    </fill>
    <fill>
      <patternFill patternType="lightGray">
        <fgColor indexed="13"/>
        <bgColor indexed="9"/>
      </patternFill>
    </fill>
  </fills>
  <borders count="1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color indexed="63"/>
      </bottom>
    </border>
    <border>
      <left style="hair"/>
      <right style="thin"/>
      <top style="hair"/>
      <bottom style="thin"/>
    </border>
    <border>
      <left style="thin"/>
      <right>
        <color indexed="63"/>
      </right>
      <top style="hair"/>
      <bottom style="thin"/>
    </border>
    <border>
      <left style="thin"/>
      <right>
        <color indexed="63"/>
      </right>
      <top>
        <color indexed="63"/>
      </top>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color indexed="63"/>
      </bottom>
    </border>
    <border>
      <left>
        <color indexed="63"/>
      </left>
      <right style="thin"/>
      <top style="thin"/>
      <bottom>
        <color indexed="63"/>
      </bottom>
    </border>
    <border>
      <left style="hair"/>
      <right style="thin"/>
      <top style="thin"/>
      <bottom>
        <color indexed="63"/>
      </bottom>
    </border>
    <border>
      <left style="hair"/>
      <right style="thin"/>
      <top style="hair"/>
      <bottom>
        <color indexed="63"/>
      </bottom>
    </border>
    <border>
      <left>
        <color indexed="63"/>
      </left>
      <right style="thin"/>
      <top style="hair"/>
      <bottom style="thin"/>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thin"/>
      <bottom style="hair"/>
    </border>
    <border>
      <left style="hair"/>
      <right style="thin"/>
      <top style="thin"/>
      <bottom style="hair"/>
    </border>
    <border>
      <left style="hair"/>
      <right style="thin"/>
      <top style="hair"/>
      <bottom style="hair"/>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hair"/>
    </border>
    <border>
      <left style="thin"/>
      <right style="hair"/>
      <top style="hair"/>
      <bottom style="hair"/>
    </border>
    <border>
      <left>
        <color indexed="63"/>
      </left>
      <right style="thin"/>
      <top style="thin"/>
      <bottom style="hair"/>
    </border>
    <border>
      <left>
        <color indexed="63"/>
      </left>
      <right>
        <color indexed="63"/>
      </right>
      <top style="hair"/>
      <bottom style="hair"/>
    </border>
    <border>
      <left style="thin"/>
      <right>
        <color indexed="63"/>
      </right>
      <top>
        <color indexed="63"/>
      </top>
      <bottom style="hair"/>
    </border>
    <border>
      <left style="hair"/>
      <right>
        <color indexed="63"/>
      </right>
      <top style="hair"/>
      <bottom style="hair"/>
    </border>
    <border>
      <left style="hair"/>
      <right style="hair"/>
      <top style="hair"/>
      <bottom style="hair"/>
    </border>
    <border>
      <left style="hair"/>
      <right style="hair"/>
      <top style="thin"/>
      <bottom style="hair"/>
    </border>
    <border>
      <left style="thin"/>
      <right>
        <color indexed="63"/>
      </right>
      <top>
        <color indexed="63"/>
      </top>
      <bottom style="thin"/>
    </border>
    <border>
      <left>
        <color indexed="63"/>
      </left>
      <right style="hair"/>
      <top style="thin"/>
      <bottom style="hair"/>
    </border>
    <border>
      <left>
        <color indexed="63"/>
      </left>
      <right style="hair"/>
      <top style="hair"/>
      <bottom style="hair"/>
    </border>
    <border>
      <left style="thin"/>
      <right style="hair"/>
      <top style="hair"/>
      <bottom style="thin"/>
    </border>
    <border>
      <left>
        <color indexed="63"/>
      </left>
      <right style="thin"/>
      <top style="hair"/>
      <bottom style="hair"/>
    </border>
    <border>
      <left style="thin"/>
      <right style="thin"/>
      <top style="thin"/>
      <bottom>
        <color indexed="63"/>
      </bottom>
    </border>
    <border>
      <left>
        <color indexed="63"/>
      </left>
      <right style="hair"/>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thin"/>
    </border>
    <border>
      <left>
        <color indexed="63"/>
      </left>
      <right style="thin"/>
      <top style="thin"/>
      <bottom style="thin"/>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style="thin"/>
      <right style="thin"/>
      <top style="thin"/>
      <bottom style="thin"/>
    </border>
    <border>
      <left>
        <color indexed="63"/>
      </left>
      <right style="double">
        <color indexed="10"/>
      </right>
      <top style="double">
        <color indexed="10"/>
      </top>
      <bottom style="hair">
        <color indexed="10"/>
      </bottom>
    </border>
    <border>
      <left>
        <color indexed="63"/>
      </left>
      <right style="double">
        <color indexed="10"/>
      </right>
      <top style="hair">
        <color indexed="10"/>
      </top>
      <bottom style="hair">
        <color indexed="10"/>
      </bottom>
    </border>
    <border>
      <left>
        <color indexed="63"/>
      </left>
      <right style="double">
        <color indexed="10"/>
      </right>
      <top style="hair">
        <color indexed="10"/>
      </top>
      <bottom style="double">
        <color indexed="10"/>
      </bottom>
    </border>
    <border>
      <left style="thin"/>
      <right style="thin"/>
      <top>
        <color indexed="63"/>
      </top>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color indexed="63"/>
      </right>
      <top style="thin"/>
      <bottom style="thin"/>
    </border>
    <border>
      <left style="thin"/>
      <right style="thin"/>
      <top>
        <color indexed="63"/>
      </top>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hair"/>
      <right style="thin"/>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style="thin"/>
      <top>
        <color indexed="63"/>
      </top>
      <bottom style="thin"/>
    </border>
    <border>
      <left style="double">
        <color indexed="10"/>
      </left>
      <right>
        <color indexed="63"/>
      </right>
      <top style="double">
        <color indexed="10"/>
      </top>
      <bottom style="double">
        <color indexed="10"/>
      </bottom>
    </border>
    <border>
      <left>
        <color indexed="63"/>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style="thin">
        <color indexed="10"/>
      </left>
      <right>
        <color indexed="63"/>
      </right>
      <top>
        <color indexed="63"/>
      </top>
      <bottom>
        <color indexed="63"/>
      </bottom>
    </border>
    <border>
      <left>
        <color indexed="63"/>
      </left>
      <right style="double">
        <color indexed="10"/>
      </right>
      <top style="double">
        <color indexed="10"/>
      </top>
      <bottom style="double">
        <color indexed="10"/>
      </bottom>
    </border>
    <border>
      <left style="hair"/>
      <right style="hair"/>
      <top>
        <color indexed="63"/>
      </top>
      <bottom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style="double">
        <color indexed="10"/>
      </left>
      <right style="double">
        <color indexed="10"/>
      </right>
      <top style="double">
        <color indexed="10"/>
      </top>
      <bottom style="double">
        <color indexed="10"/>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style="thin"/>
      <right style="hair"/>
      <top style="thin"/>
      <bottom>
        <color indexed="63"/>
      </bottom>
    </border>
    <border>
      <left>
        <color indexed="63"/>
      </left>
      <right style="hair"/>
      <top style="thin"/>
      <bottom>
        <color indexed="63"/>
      </bottom>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23" fillId="0" borderId="0" applyNumberForma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cellStyleXfs>
  <cellXfs count="1058">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protection hidden="1"/>
    </xf>
    <xf numFmtId="0" fontId="0" fillId="0" borderId="0" xfId="0" applyFont="1" applyAlignment="1" applyProtection="1">
      <alignment vertical="center"/>
      <protection hidden="1"/>
    </xf>
    <xf numFmtId="0" fontId="6" fillId="2" borderId="0" xfId="0" applyFont="1" applyFill="1" applyAlignment="1" applyProtection="1" quotePrefix="1">
      <alignment horizontal="left" vertical="center"/>
      <protection hidden="1"/>
    </xf>
    <xf numFmtId="193" fontId="8" fillId="0" borderId="0" xfId="0" applyNumberFormat="1" applyFont="1" applyAlignment="1" applyProtection="1" quotePrefix="1">
      <alignment horizontal="right" vertical="center"/>
      <protection hidden="1"/>
    </xf>
    <xf numFmtId="0" fontId="6" fillId="0" borderId="0" xfId="0" applyFont="1" applyAlignment="1" applyProtection="1">
      <alignment vertical="center"/>
      <protection hidden="1"/>
    </xf>
    <xf numFmtId="0" fontId="0" fillId="0" borderId="1" xfId="0" applyFont="1" applyBorder="1" applyAlignment="1" applyProtection="1">
      <alignment vertical="center"/>
      <protection hidden="1"/>
    </xf>
    <xf numFmtId="0" fontId="6" fillId="0" borderId="0" xfId="0" applyFont="1" applyAlignment="1" applyProtection="1" quotePrefix="1">
      <alignment horizontal="left" vertical="center"/>
      <protection hidden="1"/>
    </xf>
    <xf numFmtId="0" fontId="0" fillId="0" borderId="2" xfId="0" applyFont="1" applyBorder="1" applyAlignment="1" applyProtection="1">
      <alignment vertical="center"/>
      <protection hidden="1"/>
    </xf>
    <xf numFmtId="187" fontId="6" fillId="0" borderId="3" xfId="0" applyNumberFormat="1" applyFont="1" applyBorder="1" applyAlignment="1" applyProtection="1">
      <alignment horizontal="centerContinuous" vertical="center"/>
      <protection hidden="1"/>
    </xf>
    <xf numFmtId="187" fontId="6" fillId="0" borderId="4" xfId="0" applyNumberFormat="1" applyFont="1" applyFill="1" applyBorder="1" applyAlignment="1" applyProtection="1">
      <alignment horizontal="center" vertical="center"/>
      <protection hidden="1"/>
    </xf>
    <xf numFmtId="211" fontId="8" fillId="0" borderId="0" xfId="0" applyNumberFormat="1" applyFont="1" applyAlignment="1" applyProtection="1" quotePrefix="1">
      <alignment horizontal="right" vertical="center"/>
      <protection hidden="1"/>
    </xf>
    <xf numFmtId="0" fontId="0" fillId="0" borderId="3"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quotePrefix="1">
      <alignment horizontal="left" vertical="center"/>
      <protection hidden="1"/>
    </xf>
    <xf numFmtId="0" fontId="0" fillId="0" borderId="1" xfId="0" applyFont="1" applyBorder="1" applyAlignment="1" applyProtection="1">
      <alignment vertical="center"/>
      <protection hidden="1"/>
    </xf>
    <xf numFmtId="0" fontId="0" fillId="0" borderId="6" xfId="0" applyFont="1" applyBorder="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3" xfId="0" applyFont="1" applyBorder="1" applyAlignment="1" applyProtection="1" quotePrefix="1">
      <alignment horizontal="left" vertical="center"/>
      <protection hidden="1"/>
    </xf>
    <xf numFmtId="0" fontId="0" fillId="0" borderId="7" xfId="0" applyFont="1" applyBorder="1" applyAlignment="1" applyProtection="1">
      <alignment vertical="center"/>
      <protection hidden="1"/>
    </xf>
    <xf numFmtId="0" fontId="0" fillId="0" borderId="5" xfId="0" applyFont="1" applyBorder="1" applyAlignment="1" applyProtection="1" quotePrefix="1">
      <alignment horizontal="left" vertical="center"/>
      <protection hidden="1"/>
    </xf>
    <xf numFmtId="0" fontId="0" fillId="0" borderId="8"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0" borderId="9" xfId="0" applyFont="1" applyBorder="1" applyAlignment="1" applyProtection="1">
      <alignment horizontal="centerContinuous" vertical="center"/>
      <protection hidden="1"/>
    </xf>
    <xf numFmtId="0" fontId="0" fillId="0" borderId="3" xfId="0" applyFont="1" applyBorder="1" applyAlignment="1" applyProtection="1">
      <alignment vertical="center"/>
      <protection hidden="1"/>
    </xf>
    <xf numFmtId="0" fontId="0" fillId="0" borderId="9" xfId="0" applyFont="1" applyBorder="1" applyAlignment="1" applyProtection="1">
      <alignment vertical="center"/>
      <protection hidden="1"/>
    </xf>
    <xf numFmtId="0" fontId="6" fillId="2" borderId="0" xfId="0" applyFont="1" applyFill="1" applyAlignment="1" applyProtection="1">
      <alignment horizontal="left" vertical="center"/>
      <protection hidden="1"/>
    </xf>
    <xf numFmtId="0" fontId="6" fillId="3" borderId="0" xfId="0" applyFont="1" applyFill="1" applyBorder="1" applyAlignment="1" applyProtection="1" quotePrefix="1">
      <alignment horizontal="left" vertical="center"/>
      <protection hidden="1"/>
    </xf>
    <xf numFmtId="0" fontId="0" fillId="0" borderId="0" xfId="0" applyFont="1" applyAlignment="1" applyProtection="1">
      <alignment horizontal="centerContinuous" vertical="center"/>
      <protection hidden="1"/>
    </xf>
    <xf numFmtId="0" fontId="0" fillId="3" borderId="1" xfId="0" applyFont="1" applyFill="1" applyBorder="1" applyAlignment="1" applyProtection="1">
      <alignment vertical="center"/>
      <protection hidden="1"/>
    </xf>
    <xf numFmtId="0" fontId="0" fillId="3" borderId="10" xfId="0" applyFont="1" applyFill="1" applyBorder="1" applyAlignment="1" applyProtection="1">
      <alignment horizontal="left" vertical="center"/>
      <protection hidden="1"/>
    </xf>
    <xf numFmtId="1" fontId="6" fillId="2" borderId="1" xfId="0" applyNumberFormat="1" applyFont="1" applyFill="1" applyBorder="1" applyAlignment="1" applyProtection="1">
      <alignment horizontal="centerContinuous" vertical="center"/>
      <protection hidden="1"/>
    </xf>
    <xf numFmtId="1" fontId="6" fillId="2" borderId="11" xfId="0" applyNumberFormat="1" applyFont="1" applyFill="1" applyBorder="1" applyAlignment="1" applyProtection="1">
      <alignment horizontal="centerContinuous" vertical="center"/>
      <protection hidden="1"/>
    </xf>
    <xf numFmtId="0" fontId="0" fillId="3" borderId="3" xfId="0" applyFont="1" applyFill="1" applyBorder="1" applyAlignment="1" applyProtection="1">
      <alignment vertical="center"/>
      <protection hidden="1"/>
    </xf>
    <xf numFmtId="0" fontId="0" fillId="3" borderId="9" xfId="0" applyFont="1" applyFill="1" applyBorder="1" applyAlignment="1" applyProtection="1" quotePrefix="1">
      <alignment horizontal="left" vertical="center"/>
      <protection hidden="1"/>
    </xf>
    <xf numFmtId="194" fontId="6" fillId="2" borderId="3" xfId="0" applyNumberFormat="1" applyFont="1" applyFill="1" applyBorder="1" applyAlignment="1" applyProtection="1">
      <alignment horizontal="centerContinuous" vertical="center"/>
      <protection hidden="1"/>
    </xf>
    <xf numFmtId="2" fontId="6" fillId="2" borderId="9" xfId="0" applyNumberFormat="1" applyFont="1" applyFill="1" applyBorder="1" applyAlignment="1" applyProtection="1">
      <alignment horizontal="centerContinuous" vertical="center"/>
      <protection hidden="1"/>
    </xf>
    <xf numFmtId="1" fontId="6" fillId="2" borderId="9" xfId="0" applyNumberFormat="1" applyFont="1" applyFill="1" applyBorder="1" applyAlignment="1" applyProtection="1">
      <alignment horizontal="centerContinuous" vertical="center"/>
      <protection hidden="1"/>
    </xf>
    <xf numFmtId="197" fontId="6" fillId="2" borderId="3" xfId="0" applyNumberFormat="1" applyFont="1" applyFill="1" applyBorder="1" applyAlignment="1" applyProtection="1">
      <alignment horizontal="centerContinuous" vertical="center"/>
      <protection hidden="1"/>
    </xf>
    <xf numFmtId="197" fontId="6" fillId="2" borderId="12" xfId="0" applyNumberFormat="1" applyFont="1" applyFill="1" applyBorder="1" applyAlignment="1" applyProtection="1">
      <alignment horizontal="centerContinuous" vertical="center"/>
      <protection hidden="1"/>
    </xf>
    <xf numFmtId="212" fontId="6" fillId="2" borderId="3" xfId="0" applyNumberFormat="1" applyFont="1" applyFill="1" applyBorder="1" applyAlignment="1" applyProtection="1">
      <alignment horizontal="centerContinuous" vertical="center"/>
      <protection hidden="1"/>
    </xf>
    <xf numFmtId="188" fontId="6" fillId="2" borderId="9" xfId="0" applyNumberFormat="1" applyFont="1" applyFill="1" applyBorder="1" applyAlignment="1" applyProtection="1">
      <alignment horizontal="centerContinuous" vertical="center"/>
      <protection hidden="1"/>
    </xf>
    <xf numFmtId="0" fontId="0" fillId="3" borderId="9" xfId="0" applyFont="1" applyFill="1" applyBorder="1" applyAlignment="1" applyProtection="1">
      <alignment horizontal="left" vertical="center"/>
      <protection hidden="1"/>
    </xf>
    <xf numFmtId="0" fontId="6" fillId="2" borderId="3" xfId="0" applyFont="1" applyFill="1" applyBorder="1" applyAlignment="1" applyProtection="1">
      <alignment horizontal="centerContinuous" vertical="center"/>
      <protection hidden="1"/>
    </xf>
    <xf numFmtId="0" fontId="6" fillId="2" borderId="12" xfId="0" applyFont="1" applyFill="1" applyBorder="1" applyAlignment="1" applyProtection="1">
      <alignment horizontal="centerContinuous" vertical="center"/>
      <protection hidden="1"/>
    </xf>
    <xf numFmtId="0" fontId="0" fillId="3" borderId="3" xfId="0" applyFont="1" applyFill="1" applyBorder="1" applyAlignment="1" applyProtection="1" quotePrefix="1">
      <alignment horizontal="left" vertical="center"/>
      <protection hidden="1"/>
    </xf>
    <xf numFmtId="199" fontId="6" fillId="2" borderId="3" xfId="0" applyNumberFormat="1" applyFont="1" applyFill="1" applyBorder="1" applyAlignment="1" applyProtection="1">
      <alignment horizontal="centerContinuous" vertical="center"/>
      <protection hidden="1"/>
    </xf>
    <xf numFmtId="0" fontId="0" fillId="3" borderId="3" xfId="0" applyFont="1" applyFill="1" applyBorder="1" applyAlignment="1" applyProtection="1">
      <alignment horizontal="left" vertical="center"/>
      <protection hidden="1"/>
    </xf>
    <xf numFmtId="0" fontId="6" fillId="2" borderId="3" xfId="0" applyFont="1" applyFill="1" applyBorder="1" applyAlignment="1" applyProtection="1">
      <alignment horizontal="right" vertical="center"/>
      <protection hidden="1"/>
    </xf>
    <xf numFmtId="1" fontId="6" fillId="2" borderId="9" xfId="0" applyNumberFormat="1" applyFont="1" applyFill="1" applyBorder="1" applyAlignment="1" applyProtection="1">
      <alignment horizontal="left" vertical="center"/>
      <protection hidden="1"/>
    </xf>
    <xf numFmtId="200" fontId="6" fillId="2" borderId="3" xfId="0" applyNumberFormat="1" applyFont="1" applyFill="1" applyBorder="1" applyAlignment="1" applyProtection="1">
      <alignment horizontal="centerContinuous" vertical="center"/>
      <protection hidden="1"/>
    </xf>
    <xf numFmtId="200" fontId="6" fillId="2" borderId="12" xfId="0" applyNumberFormat="1" applyFont="1" applyFill="1" applyBorder="1" applyAlignment="1" applyProtection="1">
      <alignment horizontal="centerContinuous" vertical="center"/>
      <protection hidden="1"/>
    </xf>
    <xf numFmtId="0" fontId="0" fillId="3" borderId="5" xfId="0" applyFont="1" applyFill="1" applyBorder="1" applyAlignment="1" applyProtection="1" quotePrefix="1">
      <alignment horizontal="left" vertical="center"/>
      <protection hidden="1"/>
    </xf>
    <xf numFmtId="0" fontId="0" fillId="0" borderId="13" xfId="0" applyFont="1" applyBorder="1" applyAlignment="1" applyProtection="1">
      <alignment vertical="center"/>
      <protection hidden="1"/>
    </xf>
    <xf numFmtId="3" fontId="6" fillId="2" borderId="5" xfId="0" applyNumberFormat="1" applyFont="1" applyFill="1" applyBorder="1" applyAlignment="1" applyProtection="1">
      <alignment horizontal="centerContinuous" vertical="center"/>
      <protection hidden="1"/>
    </xf>
    <xf numFmtId="0" fontId="6" fillId="2" borderId="13" xfId="0" applyFont="1" applyFill="1" applyBorder="1" applyAlignment="1" applyProtection="1">
      <alignment horizontal="centerContinuous" vertical="center"/>
      <protection hidden="1"/>
    </xf>
    <xf numFmtId="2" fontId="6" fillId="0" borderId="10" xfId="0" applyNumberFormat="1" applyFont="1" applyFill="1" applyBorder="1" applyAlignment="1" applyProtection="1">
      <alignment horizontal="centerContinuous" vertical="center"/>
      <protection hidden="1"/>
    </xf>
    <xf numFmtId="203" fontId="6" fillId="0" borderId="3" xfId="0" applyNumberFormat="1" applyFont="1" applyFill="1" applyBorder="1" applyAlignment="1" applyProtection="1">
      <alignment horizontal="centerContinuous" vertical="center"/>
      <protection hidden="1"/>
    </xf>
    <xf numFmtId="2" fontId="6" fillId="0" borderId="9" xfId="0" applyNumberFormat="1" applyFont="1" applyFill="1" applyBorder="1" applyAlignment="1" applyProtection="1">
      <alignment horizontal="centerContinuous" vertical="center"/>
      <protection hidden="1"/>
    </xf>
    <xf numFmtId="201" fontId="6" fillId="0" borderId="3" xfId="0" applyNumberFormat="1" applyFont="1" applyFill="1" applyBorder="1" applyAlignment="1" applyProtection="1">
      <alignment horizontal="centerContinuous" vertical="center"/>
      <protection hidden="1"/>
    </xf>
    <xf numFmtId="204" fontId="6" fillId="0" borderId="3" xfId="0" applyNumberFormat="1" applyFont="1" applyFill="1" applyBorder="1" applyAlignment="1" applyProtection="1">
      <alignment horizontal="centerContinuous" vertical="center"/>
      <protection hidden="1"/>
    </xf>
    <xf numFmtId="204" fontId="6" fillId="0" borderId="9" xfId="0" applyNumberFormat="1" applyFont="1" applyFill="1" applyBorder="1" applyAlignment="1" applyProtection="1">
      <alignment horizontal="centerContinuous" vertical="center"/>
      <protection hidden="1"/>
    </xf>
    <xf numFmtId="187" fontId="6" fillId="0" borderId="3" xfId="0" applyNumberFormat="1" applyFont="1" applyFill="1" applyBorder="1" applyAlignment="1" applyProtection="1">
      <alignment horizontal="centerContinuous" vertical="center"/>
      <protection hidden="1"/>
    </xf>
    <xf numFmtId="187" fontId="6" fillId="0" borderId="12" xfId="0" applyNumberFormat="1" applyFont="1" applyFill="1" applyBorder="1" applyAlignment="1" applyProtection="1">
      <alignment horizontal="centerContinuous" vertical="center"/>
      <protection hidden="1"/>
    </xf>
    <xf numFmtId="206" fontId="6" fillId="0" borderId="3" xfId="0" applyNumberFormat="1" applyFont="1" applyFill="1" applyBorder="1" applyAlignment="1" applyProtection="1">
      <alignment horizontal="centerContinuous" vertical="center"/>
      <protection hidden="1"/>
    </xf>
    <xf numFmtId="206" fontId="6" fillId="0" borderId="12" xfId="0" applyNumberFormat="1" applyFont="1" applyFill="1" applyBorder="1" applyAlignment="1" applyProtection="1">
      <alignment horizontal="centerContinuous" vertical="center"/>
      <protection hidden="1"/>
    </xf>
    <xf numFmtId="1" fontId="6" fillId="0" borderId="3" xfId="0" applyNumberFormat="1" applyFont="1" applyFill="1" applyBorder="1" applyAlignment="1" applyProtection="1">
      <alignment horizontal="centerContinuous" vertical="center"/>
      <protection hidden="1"/>
    </xf>
    <xf numFmtId="1" fontId="6" fillId="0" borderId="12" xfId="0" applyNumberFormat="1" applyFont="1" applyFill="1" applyBorder="1" applyAlignment="1" applyProtection="1">
      <alignment horizontal="centerContinuous" vertical="center"/>
      <protection hidden="1"/>
    </xf>
    <xf numFmtId="187" fontId="6" fillId="2" borderId="3" xfId="0" applyNumberFormat="1" applyFont="1" applyFill="1" applyBorder="1" applyAlignment="1" applyProtection="1">
      <alignment horizontal="centerContinuous" vertical="center"/>
      <protection hidden="1"/>
    </xf>
    <xf numFmtId="187" fontId="6" fillId="2" borderId="12" xfId="0" applyNumberFormat="1" applyFont="1" applyFill="1" applyBorder="1" applyAlignment="1" applyProtection="1">
      <alignment horizontal="centerContinuous" vertical="center"/>
      <protection hidden="1"/>
    </xf>
    <xf numFmtId="0" fontId="0" fillId="3" borderId="6" xfId="0" applyFont="1" applyFill="1" applyBorder="1" applyAlignment="1" applyProtection="1">
      <alignment vertical="center"/>
      <protection hidden="1"/>
    </xf>
    <xf numFmtId="0" fontId="0" fillId="3" borderId="5" xfId="0" applyFont="1" applyFill="1" applyBorder="1" applyAlignment="1" applyProtection="1">
      <alignment horizontal="left" vertical="center"/>
      <protection hidden="1"/>
    </xf>
    <xf numFmtId="187" fontId="6" fillId="0" borderId="5" xfId="0" applyNumberFormat="1" applyFont="1" applyFill="1" applyBorder="1" applyAlignment="1" applyProtection="1">
      <alignment horizontal="centerContinuous" vertical="center"/>
      <protection hidden="1"/>
    </xf>
    <xf numFmtId="187" fontId="6" fillId="0" borderId="13" xfId="0" applyNumberFormat="1" applyFont="1" applyFill="1" applyBorder="1" applyAlignment="1" applyProtection="1">
      <alignment horizontal="centerContinuous" vertical="center"/>
      <protection hidden="1"/>
    </xf>
    <xf numFmtId="0" fontId="0" fillId="0" borderId="0" xfId="0" applyFont="1" applyAlignment="1" applyProtection="1">
      <alignment horizontal="left" vertical="center"/>
      <protection hidden="1"/>
    </xf>
    <xf numFmtId="205" fontId="6" fillId="0" borderId="12" xfId="0" applyNumberFormat="1" applyFont="1" applyFill="1" applyBorder="1" applyAlignment="1" applyProtection="1">
      <alignment horizontal="centerContinuous" vertical="center"/>
      <protection hidden="1"/>
    </xf>
    <xf numFmtId="0" fontId="0" fillId="4" borderId="3" xfId="0" applyFont="1" applyFill="1" applyBorder="1" applyAlignment="1" applyProtection="1">
      <alignment vertical="center"/>
      <protection hidden="1"/>
    </xf>
    <xf numFmtId="0" fontId="0" fillId="4" borderId="14" xfId="0" applyFont="1" applyFill="1" applyBorder="1" applyAlignment="1" applyProtection="1">
      <alignment horizontal="centerContinuous" vertical="center"/>
      <protection hidden="1"/>
    </xf>
    <xf numFmtId="0" fontId="0" fillId="4" borderId="12" xfId="0" applyFont="1" applyFill="1" applyBorder="1" applyAlignment="1" applyProtection="1">
      <alignment horizontal="centerContinuous" vertical="center"/>
      <protection hidden="1"/>
    </xf>
    <xf numFmtId="0" fontId="0" fillId="0" borderId="3" xfId="0" applyFont="1" applyFill="1" applyBorder="1" applyAlignment="1" applyProtection="1">
      <alignment vertical="center"/>
      <protection hidden="1"/>
    </xf>
    <xf numFmtId="0" fontId="0" fillId="4" borderId="3" xfId="0" applyFont="1" applyFill="1" applyBorder="1" applyAlignment="1" applyProtection="1" quotePrefix="1">
      <alignment horizontal="centerContinuous" vertical="center"/>
      <protection hidden="1"/>
    </xf>
    <xf numFmtId="187" fontId="6" fillId="0" borderId="12" xfId="0" applyNumberFormat="1" applyFont="1" applyBorder="1" applyAlignment="1" applyProtection="1">
      <alignment horizontal="centerContinuous" vertical="center"/>
      <protection hidden="1"/>
    </xf>
    <xf numFmtId="187" fontId="6" fillId="0" borderId="12" xfId="0" applyNumberFormat="1" applyFont="1" applyBorder="1" applyAlignment="1" applyProtection="1">
      <alignment horizontal="center" vertical="center"/>
      <protection hidden="1"/>
    </xf>
    <xf numFmtId="213" fontId="9" fillId="5" borderId="3" xfId="0" applyNumberFormat="1" applyFont="1" applyFill="1" applyBorder="1" applyAlignment="1" applyProtection="1">
      <alignment horizontal="centerContinuous" vertical="center"/>
      <protection locked="0"/>
    </xf>
    <xf numFmtId="213" fontId="9" fillId="5" borderId="12" xfId="0" applyNumberFormat="1" applyFont="1" applyFill="1" applyBorder="1" applyAlignment="1" applyProtection="1">
      <alignment horizontal="centerContinuous" vertical="center"/>
      <protection locked="0"/>
    </xf>
    <xf numFmtId="213" fontId="9" fillId="5" borderId="12" xfId="0" applyNumberFormat="1" applyFont="1" applyFill="1" applyBorder="1" applyAlignment="1" applyProtection="1">
      <alignment horizontal="center" vertical="center"/>
      <protection locked="0"/>
    </xf>
    <xf numFmtId="208" fontId="6" fillId="0" borderId="12" xfId="0" applyNumberFormat="1" applyFont="1" applyFill="1" applyBorder="1" applyAlignment="1" applyProtection="1">
      <alignment horizontal="centerContinuous" vertical="center"/>
      <protection hidden="1"/>
    </xf>
    <xf numFmtId="208" fontId="6" fillId="0" borderId="4" xfId="0" applyNumberFormat="1" applyFont="1" applyFill="1" applyBorder="1" applyAlignment="1" applyProtection="1">
      <alignment horizontal="centerContinuous" vertical="center"/>
      <protection hidden="1"/>
    </xf>
    <xf numFmtId="210" fontId="0" fillId="4" borderId="14" xfId="0" applyNumberFormat="1" applyFont="1" applyFill="1" applyBorder="1" applyAlignment="1" applyProtection="1">
      <alignment horizontal="centerContinuous" vertical="center"/>
      <protection hidden="1"/>
    </xf>
    <xf numFmtId="0" fontId="6" fillId="3" borderId="0" xfId="0" applyFont="1" applyFill="1" applyBorder="1" applyAlignment="1" applyProtection="1">
      <alignment horizontal="left" vertical="center"/>
      <protection hidden="1"/>
    </xf>
    <xf numFmtId="0" fontId="6" fillId="0" borderId="0" xfId="0" applyFont="1" applyAlignment="1" applyProtection="1">
      <alignment horizontal="center" vertical="center"/>
      <protection hidden="1"/>
    </xf>
    <xf numFmtId="0" fontId="0" fillId="4" borderId="7"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5" xfId="0" applyFont="1" applyBorder="1" applyAlignment="1" applyProtection="1">
      <alignment vertical="center"/>
      <protection hidden="1"/>
    </xf>
    <xf numFmtId="188" fontId="0" fillId="0" borderId="0" xfId="0" applyNumberFormat="1" applyFont="1" applyAlignment="1" applyProtection="1" quotePrefix="1">
      <alignment horizontal="left" vertical="center"/>
      <protection hidden="1"/>
    </xf>
    <xf numFmtId="188" fontId="0" fillId="0" borderId="0" xfId="0" applyNumberFormat="1" applyFont="1" applyAlignment="1" applyProtection="1" quotePrefix="1">
      <alignment horizontal="left" vertical="center"/>
      <protection hidden="1"/>
    </xf>
    <xf numFmtId="1" fontId="6" fillId="0" borderId="1" xfId="0" applyNumberFormat="1" applyFont="1" applyBorder="1" applyAlignment="1" applyProtection="1">
      <alignment horizontal="center" vertical="center"/>
      <protection hidden="1"/>
    </xf>
    <xf numFmtId="1" fontId="6" fillId="0" borderId="11" xfId="0" applyNumberFormat="1" applyFont="1" applyBorder="1" applyAlignment="1" applyProtection="1">
      <alignment horizontal="center" vertical="center"/>
      <protection hidden="1"/>
    </xf>
    <xf numFmtId="190" fontId="6" fillId="0" borderId="3" xfId="0" applyNumberFormat="1" applyFont="1" applyBorder="1" applyAlignment="1" applyProtection="1">
      <alignment horizontal="centerContinuous" vertical="center"/>
      <protection hidden="1"/>
    </xf>
    <xf numFmtId="0" fontId="6" fillId="0" borderId="9" xfId="0" applyFont="1" applyBorder="1" applyAlignment="1" applyProtection="1">
      <alignment horizontal="centerContinuous" vertical="center"/>
      <protection hidden="1"/>
    </xf>
    <xf numFmtId="192" fontId="6" fillId="0" borderId="3" xfId="0" applyNumberFormat="1" applyFont="1" applyBorder="1" applyAlignment="1" applyProtection="1">
      <alignment horizontal="centerContinuous" vertical="center"/>
      <protection hidden="1"/>
    </xf>
    <xf numFmtId="1" fontId="6" fillId="0" borderId="3" xfId="0" applyNumberFormat="1" applyFont="1" applyBorder="1" applyAlignment="1" applyProtection="1">
      <alignment horizontal="center" vertical="center"/>
      <protection hidden="1"/>
    </xf>
    <xf numFmtId="1" fontId="6" fillId="0" borderId="12" xfId="0" applyNumberFormat="1" applyFont="1" applyBorder="1" applyAlignment="1" applyProtection="1">
      <alignment horizontal="center" vertical="center"/>
      <protection hidden="1"/>
    </xf>
    <xf numFmtId="0" fontId="6" fillId="0" borderId="3" xfId="0" applyFont="1" applyBorder="1" applyAlignment="1" applyProtection="1">
      <alignment horizontal="right" vertical="center"/>
      <protection hidden="1"/>
    </xf>
    <xf numFmtId="1" fontId="6" fillId="0" borderId="9" xfId="0" applyNumberFormat="1" applyFont="1" applyBorder="1" applyAlignment="1" applyProtection="1">
      <alignment horizontal="left" vertical="center"/>
      <protection hidden="1"/>
    </xf>
    <xf numFmtId="2" fontId="6" fillId="0" borderId="3" xfId="0" applyNumberFormat="1" applyFont="1" applyBorder="1" applyAlignment="1" applyProtection="1">
      <alignment horizontal="centerContinuous" vertical="center"/>
      <protection hidden="1"/>
    </xf>
    <xf numFmtId="0" fontId="0" fillId="0" borderId="2" xfId="0" applyFont="1" applyBorder="1" applyAlignment="1" applyProtection="1" quotePrefix="1">
      <alignment horizontal="left" vertical="center"/>
      <protection hidden="1"/>
    </xf>
    <xf numFmtId="198" fontId="6" fillId="0" borderId="3" xfId="0" applyNumberFormat="1" applyFont="1" applyBorder="1" applyAlignment="1" applyProtection="1">
      <alignment horizontal="center" vertical="center"/>
      <protection hidden="1"/>
    </xf>
    <xf numFmtId="198" fontId="6" fillId="0" borderId="12" xfId="0" applyNumberFormat="1" applyFont="1" applyBorder="1" applyAlignment="1" applyProtection="1">
      <alignment horizontal="center" vertical="center"/>
      <protection hidden="1"/>
    </xf>
    <xf numFmtId="0" fontId="0" fillId="6" borderId="16" xfId="0" applyFont="1" applyFill="1" applyBorder="1" applyAlignment="1" applyProtection="1">
      <alignment vertical="center"/>
      <protection locked="0"/>
    </xf>
    <xf numFmtId="0" fontId="6" fillId="0" borderId="0" xfId="0" applyFont="1" applyAlignment="1" applyProtection="1">
      <alignment horizontal="right" vertical="center"/>
      <protection hidden="1"/>
    </xf>
    <xf numFmtId="0" fontId="0" fillId="0" borderId="0" xfId="0" applyFont="1" applyAlignment="1" applyProtection="1">
      <alignment horizontal="right" vertical="center"/>
      <protection hidden="1"/>
    </xf>
    <xf numFmtId="2" fontId="9" fillId="5" borderId="3" xfId="0" applyNumberFormat="1" applyFont="1" applyFill="1" applyBorder="1" applyAlignment="1" applyProtection="1">
      <alignment horizontal="centerContinuous" vertical="center"/>
      <protection locked="0"/>
    </xf>
    <xf numFmtId="0" fontId="0" fillId="0" borderId="0" xfId="0" applyAlignment="1" applyProtection="1">
      <alignment horizontal="center" vertical="center"/>
      <protection hidden="1"/>
    </xf>
    <xf numFmtId="214" fontId="9" fillId="5" borderId="3" xfId="0" applyNumberFormat="1" applyFont="1" applyFill="1" applyBorder="1" applyAlignment="1" applyProtection="1">
      <alignment horizontal="centerContinuous" vertical="center"/>
      <protection locked="0"/>
    </xf>
    <xf numFmtId="214" fontId="9" fillId="5" borderId="12" xfId="0" applyNumberFormat="1" applyFont="1" applyFill="1" applyBorder="1" applyAlignment="1" applyProtection="1">
      <alignment horizontal="centerContinuous" vertical="center"/>
      <protection locked="0"/>
    </xf>
    <xf numFmtId="214" fontId="9" fillId="5" borderId="12" xfId="0" applyNumberFormat="1"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hidden="1"/>
    </xf>
    <xf numFmtId="210" fontId="0" fillId="4" borderId="14" xfId="0" applyNumberFormat="1" applyFont="1" applyFill="1" applyBorder="1" applyAlignment="1" applyProtection="1">
      <alignment horizontal="center" vertical="center"/>
      <protection hidden="1"/>
    </xf>
    <xf numFmtId="210" fontId="0" fillId="4" borderId="12" xfId="0" applyNumberFormat="1"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0" fontId="0" fillId="0" borderId="5" xfId="0" applyFont="1" applyFill="1" applyBorder="1" applyAlignment="1" applyProtection="1">
      <alignment vertical="center"/>
      <protection hidden="1"/>
    </xf>
    <xf numFmtId="0" fontId="0" fillId="0" borderId="8" xfId="0" applyFont="1" applyFill="1" applyBorder="1" applyAlignment="1" applyProtection="1">
      <alignment vertical="center"/>
      <protection hidden="1"/>
    </xf>
    <xf numFmtId="0" fontId="0" fillId="0" borderId="3" xfId="0" applyFont="1" applyFill="1" applyBorder="1" applyAlignment="1" applyProtection="1" quotePrefix="1">
      <alignment horizontal="left" vertical="center"/>
      <protection hidden="1"/>
    </xf>
    <xf numFmtId="0" fontId="0" fillId="0" borderId="6" xfId="0" applyFont="1" applyFill="1" applyBorder="1" applyAlignment="1" applyProtection="1">
      <alignment horizontal="center" vertical="center"/>
      <protection hidden="1"/>
    </xf>
    <xf numFmtId="0" fontId="0" fillId="0" borderId="3" xfId="0" applyFont="1" applyFill="1" applyBorder="1" applyAlignment="1" applyProtection="1" quotePrefix="1">
      <alignment horizontal="centerContinuous" vertical="center"/>
      <protection hidden="1"/>
    </xf>
    <xf numFmtId="0" fontId="0" fillId="0" borderId="3" xfId="0" applyFont="1" applyFill="1" applyBorder="1" applyAlignment="1" applyProtection="1">
      <alignment horizontal="centerContinuous" vertical="center"/>
      <protection hidden="1"/>
    </xf>
    <xf numFmtId="210" fontId="0" fillId="0" borderId="14" xfId="0" applyNumberFormat="1" applyFont="1" applyFill="1" applyBorder="1" applyAlignment="1" applyProtection="1">
      <alignment horizontal="centerContinuous" vertical="center"/>
      <protection hidden="1"/>
    </xf>
    <xf numFmtId="210" fontId="0" fillId="0" borderId="14" xfId="0" applyNumberFormat="1" applyFont="1" applyFill="1" applyBorder="1" applyAlignment="1" applyProtection="1">
      <alignment horizontal="center" vertical="center"/>
      <protection hidden="1"/>
    </xf>
    <xf numFmtId="210" fontId="0" fillId="0" borderId="12" xfId="0" applyNumberFormat="1" applyFont="1" applyFill="1" applyBorder="1" applyAlignment="1" applyProtection="1">
      <alignment horizontal="center" vertical="center"/>
      <protection hidden="1"/>
    </xf>
    <xf numFmtId="0" fontId="0" fillId="4" borderId="5" xfId="0" applyFont="1" applyFill="1" applyBorder="1" applyAlignment="1" applyProtection="1" quotePrefix="1">
      <alignment horizontal="centerContinuous" vertical="center"/>
      <protection hidden="1"/>
    </xf>
    <xf numFmtId="0" fontId="0" fillId="4" borderId="12" xfId="0" applyFont="1" applyFill="1" applyBorder="1" applyAlignment="1" applyProtection="1">
      <alignment horizontal="center" vertical="center"/>
      <protection hidden="1"/>
    </xf>
    <xf numFmtId="210" fontId="0" fillId="4" borderId="17" xfId="0" applyNumberFormat="1" applyFont="1" applyFill="1" applyBorder="1" applyAlignment="1" applyProtection="1">
      <alignment horizontal="centerContinuous" vertical="center"/>
      <protection hidden="1"/>
    </xf>
    <xf numFmtId="210" fontId="0" fillId="4" borderId="17" xfId="0" applyNumberFormat="1" applyFont="1" applyFill="1" applyBorder="1" applyAlignment="1" applyProtection="1">
      <alignment horizontal="center" vertical="center"/>
      <protection hidden="1"/>
    </xf>
    <xf numFmtId="210" fontId="0" fillId="4" borderId="4" xfId="0" applyNumberFormat="1" applyFont="1" applyFill="1" applyBorder="1" applyAlignment="1" applyProtection="1">
      <alignment horizontal="center" vertical="center"/>
      <protection hidden="1"/>
    </xf>
    <xf numFmtId="1" fontId="0" fillId="4" borderId="14" xfId="0" applyNumberFormat="1" applyFont="1" applyFill="1" applyBorder="1" applyAlignment="1" applyProtection="1">
      <alignment horizontal="centerContinuous" vertical="center"/>
      <protection hidden="1"/>
    </xf>
    <xf numFmtId="1" fontId="0" fillId="4" borderId="14" xfId="0" applyNumberFormat="1" applyFont="1" applyFill="1" applyBorder="1" applyAlignment="1" applyProtection="1">
      <alignment horizontal="center" vertical="center"/>
      <protection hidden="1"/>
    </xf>
    <xf numFmtId="1" fontId="0" fillId="4" borderId="12"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215" fontId="6" fillId="0" borderId="12" xfId="0" applyNumberFormat="1" applyFont="1" applyFill="1" applyBorder="1" applyAlignment="1" applyProtection="1">
      <alignment horizontal="centerContinuous" vertical="center"/>
      <protection hidden="1"/>
    </xf>
    <xf numFmtId="188" fontId="6" fillId="0" borderId="3" xfId="0" applyNumberFormat="1" applyFont="1" applyFill="1" applyBorder="1" applyAlignment="1" applyProtection="1">
      <alignment horizontal="centerContinuous" vertical="center"/>
      <protection hidden="1"/>
    </xf>
    <xf numFmtId="208" fontId="6" fillId="0" borderId="3" xfId="0" applyNumberFormat="1" applyFont="1" applyFill="1" applyBorder="1" applyAlignment="1" applyProtection="1">
      <alignment horizontal="centerContinuous" vertical="center"/>
      <protection hidden="1"/>
    </xf>
    <xf numFmtId="208" fontId="6" fillId="0" borderId="5" xfId="0" applyNumberFormat="1" applyFont="1" applyFill="1" applyBorder="1" applyAlignment="1" applyProtection="1">
      <alignment horizontal="centerContinuous" vertical="center"/>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20" xfId="0" applyFont="1" applyBorder="1" applyAlignment="1" applyProtection="1">
      <alignment horizontal="center" vertical="center"/>
      <protection hidden="1"/>
    </xf>
    <xf numFmtId="1" fontId="6" fillId="2" borderId="21" xfId="0" applyNumberFormat="1" applyFont="1" applyFill="1" applyBorder="1" applyAlignment="1" applyProtection="1">
      <alignment horizontal="centerContinuous" vertical="center"/>
      <protection hidden="1"/>
    </xf>
    <xf numFmtId="1" fontId="6" fillId="2" borderId="22" xfId="0" applyNumberFormat="1" applyFont="1" applyFill="1" applyBorder="1" applyAlignment="1" applyProtection="1">
      <alignment horizontal="centerContinuous" vertical="center"/>
      <protection hidden="1"/>
    </xf>
    <xf numFmtId="1" fontId="7" fillId="4" borderId="21" xfId="0" applyNumberFormat="1" applyFont="1" applyFill="1" applyBorder="1" applyAlignment="1" applyProtection="1">
      <alignment horizontal="centerContinuous" vertical="center"/>
      <protection hidden="1"/>
    </xf>
    <xf numFmtId="1" fontId="7" fillId="4" borderId="23" xfId="0" applyNumberFormat="1" applyFont="1" applyFill="1" applyBorder="1" applyAlignment="1" applyProtection="1">
      <alignment horizontal="centerContinuous" vertical="center"/>
      <protection hidden="1"/>
    </xf>
    <xf numFmtId="187" fontId="6" fillId="2" borderId="24" xfId="0" applyNumberFormat="1" applyFont="1" applyFill="1" applyBorder="1" applyAlignment="1" applyProtection="1">
      <alignment horizontal="centerContinuous" vertical="center"/>
      <protection hidden="1"/>
    </xf>
    <xf numFmtId="187" fontId="6" fillId="2" borderId="23" xfId="0" applyNumberFormat="1" applyFont="1" applyFill="1" applyBorder="1" applyAlignment="1" applyProtection="1">
      <alignment horizontal="centerContinuous" vertical="center"/>
      <protection hidden="1"/>
    </xf>
    <xf numFmtId="186" fontId="6" fillId="2" borderId="25" xfId="0" applyNumberFormat="1" applyFont="1" applyFill="1" applyBorder="1" applyAlignment="1" applyProtection="1">
      <alignment horizontal="centerContinuous" vertical="center"/>
      <protection hidden="1"/>
    </xf>
    <xf numFmtId="1" fontId="6" fillId="2" borderId="26" xfId="0" applyNumberFormat="1" applyFont="1" applyFill="1" applyBorder="1" applyAlignment="1" applyProtection="1">
      <alignment horizontal="centerContinuous" vertical="center"/>
      <protection hidden="1"/>
    </xf>
    <xf numFmtId="1" fontId="6" fillId="2" borderId="27" xfId="0" applyNumberFormat="1" applyFont="1" applyFill="1" applyBorder="1" applyAlignment="1" applyProtection="1">
      <alignment horizontal="centerContinuous" vertical="center"/>
      <protection hidden="1"/>
    </xf>
    <xf numFmtId="1" fontId="6" fillId="0" borderId="26" xfId="0" applyNumberFormat="1" applyFont="1" applyFill="1" applyBorder="1" applyAlignment="1" applyProtection="1">
      <alignment horizontal="centerContinuous" vertical="center"/>
      <protection hidden="1"/>
    </xf>
    <xf numFmtId="1" fontId="7" fillId="4" borderId="26" xfId="0" applyNumberFormat="1" applyFont="1" applyFill="1" applyBorder="1" applyAlignment="1" applyProtection="1">
      <alignment horizontal="centerContinuous" vertical="center"/>
      <protection hidden="1"/>
    </xf>
    <xf numFmtId="0" fontId="0" fillId="0" borderId="19" xfId="0" applyFont="1" applyBorder="1" applyAlignment="1" applyProtection="1">
      <alignment vertical="center"/>
      <protection hidden="1"/>
    </xf>
    <xf numFmtId="1" fontId="7" fillId="2" borderId="23" xfId="0" applyNumberFormat="1" applyFont="1" applyFill="1" applyBorder="1" applyAlignment="1" applyProtection="1">
      <alignment horizontal="centerContinuous" vertical="center"/>
      <protection hidden="1"/>
    </xf>
    <xf numFmtId="3" fontId="7" fillId="4" borderId="26" xfId="0" applyNumberFormat="1" applyFont="1" applyFill="1" applyBorder="1" applyAlignment="1" applyProtection="1">
      <alignment horizontal="centerContinuous" vertical="center"/>
      <protection hidden="1"/>
    </xf>
    <xf numFmtId="3" fontId="7" fillId="4" borderId="21" xfId="0" applyNumberFormat="1" applyFont="1" applyFill="1" applyBorder="1" applyAlignment="1" applyProtection="1">
      <alignment horizontal="centerContinuous" vertical="center"/>
      <protection hidden="1"/>
    </xf>
    <xf numFmtId="0" fontId="0" fillId="0" borderId="0" xfId="0" applyFont="1" applyAlignment="1" applyProtection="1">
      <alignment vertical="center"/>
      <protection hidden="1"/>
    </xf>
    <xf numFmtId="0" fontId="11" fillId="3" borderId="9" xfId="0" applyFont="1" applyFill="1" applyBorder="1" applyAlignment="1" applyProtection="1" quotePrefix="1">
      <alignment horizontal="left" vertical="center"/>
      <protection hidden="1"/>
    </xf>
    <xf numFmtId="0" fontId="0" fillId="0" borderId="28"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19" fillId="0" borderId="0" xfId="0" applyFont="1" applyAlignment="1" applyProtection="1">
      <alignment horizontal="left" vertical="center"/>
      <protection hidden="1"/>
    </xf>
    <xf numFmtId="0" fontId="25" fillId="0" borderId="0" xfId="0" applyFont="1" applyAlignment="1" applyProtection="1">
      <alignment/>
      <protection hidden="1"/>
    </xf>
    <xf numFmtId="216" fontId="27" fillId="0" borderId="0" xfId="0" applyNumberFormat="1" applyFont="1" applyAlignment="1" applyProtection="1">
      <alignment horizontal="right" vertical="top"/>
      <protection hidden="1"/>
    </xf>
    <xf numFmtId="0" fontId="0" fillId="0" borderId="19" xfId="0" applyFont="1" applyBorder="1" applyAlignment="1" applyProtection="1" quotePrefix="1">
      <alignment horizontal="lef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19" xfId="0" applyFont="1" applyBorder="1" applyAlignment="1" applyProtection="1" quotePrefix="1">
      <alignment horizontal="left" vertical="center"/>
      <protection hidden="1"/>
    </xf>
    <xf numFmtId="0" fontId="0" fillId="0" borderId="29" xfId="0" applyFont="1" applyBorder="1" applyAlignment="1" applyProtection="1">
      <alignment horizontal="left" vertical="center"/>
      <protection hidden="1"/>
    </xf>
    <xf numFmtId="0" fontId="0" fillId="0" borderId="29" xfId="0" applyFont="1" applyBorder="1" applyAlignment="1" applyProtection="1">
      <alignment vertical="center"/>
      <protection hidden="1"/>
    </xf>
    <xf numFmtId="0" fontId="0" fillId="0" borderId="30" xfId="0" applyFont="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30" xfId="0" applyFont="1" applyBorder="1" applyAlignment="1" applyProtection="1" quotePrefix="1">
      <alignment horizontal="left" vertical="center"/>
      <protection hidden="1"/>
    </xf>
    <xf numFmtId="0" fontId="0" fillId="0" borderId="19" xfId="0" applyFont="1" applyBorder="1" applyAlignment="1" applyProtection="1" quotePrefix="1">
      <alignment horizontal="left" vertical="center"/>
      <protection hidden="1"/>
    </xf>
    <xf numFmtId="0" fontId="0" fillId="0" borderId="3" xfId="0" applyFont="1" applyBorder="1" applyAlignment="1" applyProtection="1" quotePrefix="1">
      <alignment horizontal="left" vertical="center"/>
      <protection hidden="1"/>
    </xf>
    <xf numFmtId="0" fontId="0" fillId="3" borderId="30" xfId="0" applyFont="1" applyFill="1" applyBorder="1" applyAlignment="1" applyProtection="1" quotePrefix="1">
      <alignment horizontal="left" vertical="center"/>
      <protection hidden="1"/>
    </xf>
    <xf numFmtId="0" fontId="0" fillId="3" borderId="19" xfId="0" applyFont="1" applyFill="1" applyBorder="1" applyAlignment="1" applyProtection="1" quotePrefix="1">
      <alignment horizontal="left" vertical="center"/>
      <protection hidden="1"/>
    </xf>
    <xf numFmtId="0" fontId="0" fillId="0" borderId="15" xfId="0" applyFont="1" applyBorder="1" applyAlignment="1" applyProtection="1">
      <alignment horizontal="center" vertical="center"/>
      <protection hidden="1"/>
    </xf>
    <xf numFmtId="187" fontId="6" fillId="0" borderId="31" xfId="0" applyNumberFormat="1" applyFont="1" applyBorder="1" applyAlignment="1" applyProtection="1">
      <alignment horizontal="center" vertical="center"/>
      <protection hidden="1"/>
    </xf>
    <xf numFmtId="187" fontId="6" fillId="0" borderId="19" xfId="0" applyNumberFormat="1" applyFont="1" applyBorder="1" applyAlignment="1" applyProtection="1">
      <alignment horizontal="center" vertical="center"/>
      <protection hidden="1"/>
    </xf>
    <xf numFmtId="213" fontId="9" fillId="5" borderId="19" xfId="0" applyNumberFormat="1" applyFont="1" applyFill="1" applyBorder="1" applyAlignment="1" applyProtection="1">
      <alignment horizontal="center" vertical="center"/>
      <protection locked="0"/>
    </xf>
    <xf numFmtId="214" fontId="9" fillId="5" borderId="19" xfId="0" applyNumberFormat="1" applyFont="1" applyFill="1" applyBorder="1" applyAlignment="1" applyProtection="1">
      <alignment horizontal="center" vertical="center"/>
      <protection locked="0"/>
    </xf>
    <xf numFmtId="213" fontId="9" fillId="5" borderId="31" xfId="0" applyNumberFormat="1" applyFont="1" applyFill="1" applyBorder="1" applyAlignment="1" applyProtection="1">
      <alignment horizontal="center" vertical="center"/>
      <protection locked="0"/>
    </xf>
    <xf numFmtId="214" fontId="9" fillId="5" borderId="31" xfId="0" applyNumberFormat="1" applyFont="1" applyFill="1" applyBorder="1" applyAlignment="1" applyProtection="1">
      <alignment horizontal="center" vertical="center"/>
      <protection locked="0"/>
    </xf>
    <xf numFmtId="208" fontId="6" fillId="0" borderId="31" xfId="0" applyNumberFormat="1" applyFont="1" applyFill="1" applyBorder="1" applyAlignment="1" applyProtection="1">
      <alignment horizontal="center" vertical="center"/>
      <protection hidden="1"/>
    </xf>
    <xf numFmtId="208" fontId="6" fillId="0" borderId="17" xfId="0" applyNumberFormat="1" applyFont="1" applyFill="1" applyBorder="1" applyAlignment="1" applyProtection="1">
      <alignment horizontal="center" vertical="center"/>
      <protection hidden="1"/>
    </xf>
    <xf numFmtId="208" fontId="6" fillId="0" borderId="19" xfId="0" applyNumberFormat="1" applyFont="1" applyFill="1" applyBorder="1" applyAlignment="1" applyProtection="1">
      <alignment horizontal="center" vertical="center"/>
      <protection hidden="1"/>
    </xf>
    <xf numFmtId="208" fontId="6" fillId="0" borderId="5" xfId="0" applyNumberFormat="1" applyFont="1" applyFill="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5" xfId="0" applyFont="1"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0" fillId="0" borderId="30" xfId="0" applyFont="1" applyBorder="1" applyAlignment="1" applyProtection="1">
      <alignment horizontal="left" vertical="center"/>
      <protection hidden="1"/>
    </xf>
    <xf numFmtId="0" fontId="0" fillId="0" borderId="19" xfId="0" applyFont="1" applyBorder="1" applyAlignment="1" applyProtection="1">
      <alignment horizontal="left" vertical="center"/>
      <protection hidden="1"/>
    </xf>
    <xf numFmtId="0" fontId="0" fillId="0" borderId="0" xfId="0" applyAlignment="1" applyProtection="1">
      <alignment/>
      <protection hidden="1"/>
    </xf>
    <xf numFmtId="0" fontId="0" fillId="0" borderId="19" xfId="0" applyFont="1" applyBorder="1" applyAlignment="1" applyProtection="1">
      <alignment vertical="center"/>
      <protection hidden="1"/>
    </xf>
    <xf numFmtId="0" fontId="0" fillId="0" borderId="29" xfId="0" applyFont="1" applyBorder="1" applyAlignment="1" applyProtection="1">
      <alignment vertical="center"/>
      <protection hidden="1"/>
    </xf>
    <xf numFmtId="186" fontId="6" fillId="0" borderId="32" xfId="0" applyNumberFormat="1" applyFont="1" applyBorder="1" applyAlignment="1" applyProtection="1">
      <alignment horizontal="center" vertical="center"/>
      <protection hidden="1"/>
    </xf>
    <xf numFmtId="186" fontId="6" fillId="0" borderId="22" xfId="0" applyNumberFormat="1" applyFont="1" applyBorder="1" applyAlignment="1" applyProtection="1">
      <alignment horizontal="center" vertical="center"/>
      <protection hidden="1"/>
    </xf>
    <xf numFmtId="2" fontId="7" fillId="4" borderId="26" xfId="0" applyNumberFormat="1" applyFont="1" applyFill="1" applyBorder="1" applyAlignment="1" applyProtection="1">
      <alignment horizontal="centerContinuous" vertical="center"/>
      <protection hidden="1"/>
    </xf>
    <xf numFmtId="2" fontId="7" fillId="4" borderId="21" xfId="0" applyNumberFormat="1" applyFont="1" applyFill="1" applyBorder="1" applyAlignment="1" applyProtection="1">
      <alignment horizontal="centerContinuous" vertical="center"/>
      <protection hidden="1"/>
    </xf>
    <xf numFmtId="0" fontId="0" fillId="0" borderId="0"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0" fillId="0" borderId="6" xfId="0" applyFont="1" applyBorder="1" applyAlignment="1" applyProtection="1">
      <alignment horizontal="left" vertical="center"/>
      <protection hidden="1"/>
    </xf>
    <xf numFmtId="0" fontId="0" fillId="0" borderId="34" xfId="0" applyFont="1" applyBorder="1" applyAlignment="1" applyProtection="1">
      <alignment horizontal="left" vertical="center"/>
      <protection hidden="1"/>
    </xf>
    <xf numFmtId="0" fontId="0" fillId="0" borderId="19"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0" fillId="3" borderId="19" xfId="0" applyFont="1" applyFill="1" applyBorder="1" applyAlignment="1" applyProtection="1" quotePrefix="1">
      <alignment horizontal="left" vertical="center"/>
      <protection hidden="1"/>
    </xf>
    <xf numFmtId="0" fontId="0" fillId="0" borderId="19" xfId="0" applyFont="1" applyBorder="1" applyAlignment="1" applyProtection="1">
      <alignment horizontal="left" vertical="center"/>
      <protection hidden="1"/>
    </xf>
    <xf numFmtId="0" fontId="7" fillId="0" borderId="19"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7" xfId="0" applyFont="1" applyBorder="1" applyAlignment="1" applyProtection="1">
      <alignment vertical="center"/>
      <protection hidden="1"/>
    </xf>
    <xf numFmtId="0" fontId="0" fillId="0" borderId="3" xfId="0" applyFont="1" applyBorder="1" applyAlignment="1" applyProtection="1">
      <alignment horizontal="left" vertical="center"/>
      <protection hidden="1"/>
    </xf>
    <xf numFmtId="0" fontId="0" fillId="0" borderId="16" xfId="0" applyFont="1" applyBorder="1" applyAlignment="1" applyProtection="1">
      <alignment vertical="center"/>
      <protection hidden="1"/>
    </xf>
    <xf numFmtId="0" fontId="11" fillId="0" borderId="7" xfId="0" applyFont="1" applyBorder="1" applyAlignment="1" applyProtection="1">
      <alignment horizontal="left" vertical="center"/>
      <protection hidden="1"/>
    </xf>
    <xf numFmtId="0" fontId="11" fillId="0" borderId="30" xfId="0" applyFont="1" applyBorder="1" applyAlignment="1" applyProtection="1">
      <alignment horizontal="left" vertical="center"/>
      <protection hidden="1"/>
    </xf>
    <xf numFmtId="0" fontId="0" fillId="0" borderId="35" xfId="0" applyFont="1" applyBorder="1" applyAlignment="1" applyProtection="1">
      <alignment horizontal="left" vertical="center"/>
      <protection hidden="1"/>
    </xf>
    <xf numFmtId="0" fontId="0" fillId="0" borderId="21" xfId="0" applyFont="1" applyBorder="1" applyAlignment="1" applyProtection="1">
      <alignment horizontal="center" vertical="center"/>
      <protection hidden="1"/>
    </xf>
    <xf numFmtId="0" fontId="0" fillId="0" borderId="36" xfId="0" applyFont="1" applyBorder="1" applyAlignment="1" applyProtection="1">
      <alignment horizontal="left" vertical="center"/>
      <protection hidden="1"/>
    </xf>
    <xf numFmtId="0" fontId="0" fillId="0" borderId="22" xfId="0" applyFont="1" applyBorder="1" applyAlignment="1" applyProtection="1">
      <alignment horizontal="center" vertical="center"/>
      <protection hidden="1"/>
    </xf>
    <xf numFmtId="0" fontId="0" fillId="0" borderId="36" xfId="0" applyFont="1" applyBorder="1" applyAlignment="1" applyProtection="1">
      <alignment horizontal="left" vertical="center"/>
      <protection hidden="1"/>
    </xf>
    <xf numFmtId="0" fontId="0" fillId="0" borderId="22" xfId="0" applyFont="1" applyBorder="1" applyAlignment="1" applyProtection="1">
      <alignment horizontal="center" vertical="center"/>
      <protection hidden="1"/>
    </xf>
    <xf numFmtId="0" fontId="0" fillId="0" borderId="36" xfId="0" applyFont="1" applyBorder="1" applyAlignment="1" applyProtection="1">
      <alignment horizontal="left" vertical="center"/>
      <protection hidden="1"/>
    </xf>
    <xf numFmtId="0" fontId="0" fillId="0" borderId="22" xfId="0" applyFont="1" applyBorder="1" applyAlignment="1" applyProtection="1">
      <alignment horizontal="center" vertical="center"/>
      <protection hidden="1"/>
    </xf>
    <xf numFmtId="0" fontId="11" fillId="0" borderId="36" xfId="0" applyFont="1" applyBorder="1" applyAlignment="1" applyProtection="1">
      <alignment horizontal="left" vertical="center"/>
      <protection hidden="1"/>
    </xf>
    <xf numFmtId="0" fontId="11" fillId="0" borderId="22" xfId="0" applyFont="1" applyBorder="1" applyAlignment="1" applyProtection="1">
      <alignment horizontal="center" vertical="center"/>
      <protection hidden="1"/>
    </xf>
    <xf numFmtId="0" fontId="0" fillId="0" borderId="36" xfId="0" applyFont="1" applyBorder="1" applyAlignment="1" applyProtection="1">
      <alignment vertical="center"/>
      <protection hidden="1"/>
    </xf>
    <xf numFmtId="0" fontId="0" fillId="0" borderId="36"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29" fillId="0" borderId="0" xfId="0" applyFont="1" applyAlignment="1" applyProtection="1">
      <alignment horizontal="left" vertical="center"/>
      <protection hidden="1"/>
    </xf>
    <xf numFmtId="0" fontId="0" fillId="0" borderId="2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3" borderId="29" xfId="0" applyFont="1" applyFill="1" applyBorder="1" applyAlignment="1" applyProtection="1">
      <alignment horizontal="left"/>
      <protection hidden="1"/>
    </xf>
    <xf numFmtId="0" fontId="0" fillId="3" borderId="29" xfId="0" applyFont="1" applyFill="1" applyBorder="1" applyAlignment="1" applyProtection="1" quotePrefix="1">
      <alignment horizontal="left"/>
      <protection hidden="1"/>
    </xf>
    <xf numFmtId="0" fontId="0" fillId="3" borderId="8" xfId="0" applyFont="1" applyFill="1" applyBorder="1" applyAlignment="1" applyProtection="1" quotePrefix="1">
      <alignment horizontal="left"/>
      <protection hidden="1"/>
    </xf>
    <xf numFmtId="1" fontId="6" fillId="2" borderId="37" xfId="0" applyNumberFormat="1" applyFont="1" applyFill="1" applyBorder="1" applyAlignment="1" applyProtection="1">
      <alignment horizontal="centerContinuous" vertical="center"/>
      <protection hidden="1"/>
    </xf>
    <xf numFmtId="1" fontId="6" fillId="2" borderId="4" xfId="0" applyNumberFormat="1" applyFont="1" applyFill="1" applyBorder="1" applyAlignment="1" applyProtection="1">
      <alignment horizontal="centerContinuous" vertical="center"/>
      <protection hidden="1"/>
    </xf>
    <xf numFmtId="0" fontId="0" fillId="0" borderId="0" xfId="0" applyFont="1" applyAlignment="1" applyProtection="1">
      <alignment horizontal="center"/>
      <protection hidden="1"/>
    </xf>
    <xf numFmtId="0" fontId="0" fillId="3" borderId="29" xfId="0" applyFont="1" applyFill="1" applyBorder="1" applyAlignment="1" applyProtection="1" quotePrefix="1">
      <alignment horizontal="center"/>
      <protection hidden="1"/>
    </xf>
    <xf numFmtId="0" fontId="0" fillId="3" borderId="8" xfId="0" applyFont="1" applyFill="1" applyBorder="1" applyAlignment="1" applyProtection="1" quotePrefix="1">
      <alignment horizontal="center"/>
      <protection hidden="1"/>
    </xf>
    <xf numFmtId="0" fontId="0" fillId="0" borderId="20" xfId="0" applyFont="1" applyFill="1" applyBorder="1" applyAlignment="1" applyProtection="1">
      <alignment horizontal="center"/>
      <protection hidden="1"/>
    </xf>
    <xf numFmtId="0" fontId="0" fillId="0" borderId="8" xfId="0" applyFont="1" applyFill="1" applyBorder="1" applyAlignment="1" applyProtection="1">
      <alignment horizontal="center"/>
      <protection hidden="1"/>
    </xf>
    <xf numFmtId="187" fontId="0" fillId="0" borderId="19" xfId="0" applyNumberFormat="1" applyFont="1" applyBorder="1" applyAlignment="1" applyProtection="1">
      <alignment horizontal="left" vertical="center"/>
      <protection hidden="1"/>
    </xf>
    <xf numFmtId="0" fontId="6" fillId="0" borderId="11" xfId="0" applyNumberFormat="1" applyFont="1" applyBorder="1" applyAlignment="1" applyProtection="1">
      <alignment horizontal="center" vertical="center"/>
      <protection hidden="1"/>
    </xf>
    <xf numFmtId="0" fontId="0" fillId="0" borderId="20" xfId="0" applyFont="1" applyBorder="1" applyAlignment="1" applyProtection="1" quotePrefix="1">
      <alignment horizontal="left" vertical="center"/>
      <protection hidden="1"/>
    </xf>
    <xf numFmtId="0" fontId="0" fillId="0" borderId="38"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2" fontId="7" fillId="4" borderId="1" xfId="0" applyNumberFormat="1" applyFont="1" applyFill="1" applyBorder="1" applyAlignment="1" applyProtection="1">
      <alignment horizontal="centerContinuous" vertical="center"/>
      <protection hidden="1"/>
    </xf>
    <xf numFmtId="2" fontId="7" fillId="4" borderId="39" xfId="0" applyNumberFormat="1" applyFont="1" applyFill="1" applyBorder="1" applyAlignment="1" applyProtection="1">
      <alignment horizontal="centerContinuous" vertical="center"/>
      <protection hidden="1"/>
    </xf>
    <xf numFmtId="187" fontId="6" fillId="0" borderId="22" xfId="0" applyNumberFormat="1" applyFont="1" applyFill="1" applyBorder="1" applyAlignment="1" applyProtection="1">
      <alignment horizontal="center" vertical="center"/>
      <protection hidden="1"/>
    </xf>
    <xf numFmtId="0" fontId="0" fillId="3" borderId="9" xfId="0" applyFont="1" applyFill="1" applyBorder="1" applyAlignment="1" applyProtection="1">
      <alignment horizontal="left"/>
      <protection hidden="1"/>
    </xf>
    <xf numFmtId="0" fontId="0" fillId="3" borderId="9" xfId="0" applyFont="1" applyFill="1" applyBorder="1" applyAlignment="1" applyProtection="1" quotePrefix="1">
      <alignment horizontal="left"/>
      <protection hidden="1"/>
    </xf>
    <xf numFmtId="0" fontId="15" fillId="3" borderId="9" xfId="0" applyFont="1" applyFill="1" applyBorder="1" applyAlignment="1" applyProtection="1">
      <alignment horizontal="left"/>
      <protection hidden="1"/>
    </xf>
    <xf numFmtId="0" fontId="15" fillId="3" borderId="13" xfId="0" applyFont="1" applyFill="1" applyBorder="1" applyAlignment="1" applyProtection="1">
      <alignment horizontal="left"/>
      <protection hidden="1"/>
    </xf>
    <xf numFmtId="0" fontId="0" fillId="3" borderId="10" xfId="0" applyFont="1" applyFill="1" applyBorder="1" applyAlignment="1" applyProtection="1" quotePrefix="1">
      <alignment horizontal="left"/>
      <protection hidden="1"/>
    </xf>
    <xf numFmtId="0" fontId="11" fillId="3" borderId="9" xfId="0" applyFont="1" applyFill="1" applyBorder="1" applyAlignment="1" applyProtection="1" quotePrefix="1">
      <alignment horizontal="left"/>
      <protection hidden="1"/>
    </xf>
    <xf numFmtId="0" fontId="0" fillId="3" borderId="9" xfId="0" applyFont="1" applyFill="1" applyBorder="1" applyAlignment="1" applyProtection="1" quotePrefix="1">
      <alignment horizontal="left"/>
      <protection hidden="1"/>
    </xf>
    <xf numFmtId="0" fontId="11" fillId="0" borderId="7" xfId="0" applyFont="1" applyBorder="1" applyAlignment="1" applyProtection="1">
      <alignment vertical="center"/>
      <protection hidden="1"/>
    </xf>
    <xf numFmtId="0" fontId="0" fillId="0" borderId="7" xfId="0" applyFont="1" applyFill="1" applyBorder="1" applyAlignment="1" applyProtection="1">
      <alignment horizontal="centerContinuous" vertical="center"/>
      <protection hidden="1"/>
    </xf>
    <xf numFmtId="0" fontId="0" fillId="0" borderId="7" xfId="0" applyFont="1" applyBorder="1" applyAlignment="1" applyProtection="1">
      <alignment/>
      <protection hidden="1"/>
    </xf>
    <xf numFmtId="0" fontId="0" fillId="3" borderId="7" xfId="0" applyFont="1" applyFill="1" applyBorder="1" applyAlignment="1" applyProtection="1">
      <alignment horizontal="left"/>
      <protection hidden="1"/>
    </xf>
    <xf numFmtId="0" fontId="0" fillId="0" borderId="8" xfId="0" applyFont="1" applyBorder="1" applyAlignment="1" applyProtection="1">
      <alignment/>
      <protection hidden="1"/>
    </xf>
    <xf numFmtId="0" fontId="0" fillId="0" borderId="21" xfId="0" applyFont="1" applyBorder="1" applyAlignment="1" applyProtection="1" quotePrefix="1">
      <alignment horizontal="left" vertical="center"/>
      <protection hidden="1"/>
    </xf>
    <xf numFmtId="0" fontId="0" fillId="0" borderId="22" xfId="0" applyFont="1" applyBorder="1" applyAlignment="1" applyProtection="1">
      <alignment vertical="center"/>
      <protection hidden="1"/>
    </xf>
    <xf numFmtId="0" fontId="11" fillId="0" borderId="22" xfId="0" applyFont="1" applyBorder="1" applyAlignment="1" applyProtection="1">
      <alignment vertical="center"/>
      <protection hidden="1"/>
    </xf>
    <xf numFmtId="0" fontId="0" fillId="0" borderId="22" xfId="0" applyFont="1" applyFill="1" applyBorder="1" applyAlignment="1" applyProtection="1">
      <alignment horizontal="centerContinuous" vertical="center"/>
      <protection hidden="1"/>
    </xf>
    <xf numFmtId="0" fontId="0" fillId="0" borderId="22" xfId="0" applyFont="1" applyBorder="1" applyAlignment="1" applyProtection="1">
      <alignment/>
      <protection hidden="1"/>
    </xf>
    <xf numFmtId="0" fontId="0" fillId="3" borderId="22" xfId="0" applyFont="1" applyFill="1" applyBorder="1" applyAlignment="1" applyProtection="1">
      <alignment horizontal="left"/>
      <protection hidden="1"/>
    </xf>
    <xf numFmtId="0" fontId="0" fillId="0" borderId="4" xfId="0" applyFont="1" applyBorder="1" applyAlignment="1" applyProtection="1">
      <alignment/>
      <protection hidden="1"/>
    </xf>
    <xf numFmtId="0" fontId="0" fillId="0" borderId="28" xfId="0" applyFont="1" applyBorder="1" applyAlignment="1" applyProtection="1">
      <alignment vertical="center"/>
      <protection hidden="1"/>
    </xf>
    <xf numFmtId="0" fontId="0" fillId="0" borderId="38"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0" fillId="0" borderId="4" xfId="0" applyFont="1" applyBorder="1" applyAlignment="1" applyProtection="1">
      <alignment vertical="center"/>
      <protection hidden="1"/>
    </xf>
    <xf numFmtId="0" fontId="0" fillId="0" borderId="40" xfId="0" applyFont="1" applyBorder="1" applyAlignment="1" applyProtection="1">
      <alignment/>
      <protection hidden="1"/>
    </xf>
    <xf numFmtId="187" fontId="6" fillId="0" borderId="3" xfId="0" applyNumberFormat="1" applyFont="1" applyBorder="1" applyAlignment="1" applyProtection="1">
      <alignment horizontal="center" vertical="center"/>
      <protection hidden="1"/>
    </xf>
    <xf numFmtId="0" fontId="6" fillId="0" borderId="1" xfId="0" applyNumberFormat="1" applyFont="1" applyBorder="1" applyAlignment="1" applyProtection="1">
      <alignment horizontal="center" vertical="center"/>
      <protection hidden="1"/>
    </xf>
    <xf numFmtId="187" fontId="6" fillId="0" borderId="5" xfId="0" applyNumberFormat="1" applyFont="1" applyBorder="1" applyAlignment="1" applyProtection="1">
      <alignment horizontal="center" vertical="center"/>
      <protection hidden="1"/>
    </xf>
    <xf numFmtId="187" fontId="6" fillId="0" borderId="4" xfId="0" applyNumberFormat="1" applyFont="1" applyBorder="1" applyAlignment="1" applyProtection="1">
      <alignment horizontal="center" vertical="center"/>
      <protection hidden="1"/>
    </xf>
    <xf numFmtId="0" fontId="0" fillId="3" borderId="19" xfId="0" applyFont="1" applyFill="1" applyBorder="1" applyAlignment="1" applyProtection="1">
      <alignment horizontal="left" vertical="center"/>
      <protection hidden="1"/>
    </xf>
    <xf numFmtId="0" fontId="0" fillId="3" borderId="38" xfId="0" applyFont="1" applyFill="1" applyBorder="1" applyAlignment="1" applyProtection="1">
      <alignment horizontal="left" vertical="center"/>
      <protection hidden="1"/>
    </xf>
    <xf numFmtId="0" fontId="19" fillId="0" borderId="0" xfId="0" applyFont="1" applyAlignment="1" applyProtection="1">
      <alignment vertical="center" wrapText="1"/>
      <protection hidden="1"/>
    </xf>
    <xf numFmtId="216" fontId="19" fillId="0" borderId="0" xfId="0" applyNumberFormat="1" applyFont="1" applyAlignment="1" applyProtection="1">
      <alignment horizontal="right" vertical="top" wrapText="1"/>
      <protection hidden="1"/>
    </xf>
    <xf numFmtId="0" fontId="0" fillId="3" borderId="1" xfId="0" applyFont="1" applyFill="1" applyBorder="1" applyAlignment="1" applyProtection="1">
      <alignment vertical="center"/>
      <protection hidden="1"/>
    </xf>
    <xf numFmtId="0" fontId="0" fillId="3" borderId="10" xfId="0" applyFont="1" applyFill="1" applyBorder="1" applyAlignment="1" applyProtection="1">
      <alignment horizontal="left" vertical="center"/>
      <protection hidden="1"/>
    </xf>
    <xf numFmtId="0" fontId="0" fillId="3" borderId="3" xfId="0" applyFont="1" applyFill="1" applyBorder="1" applyAlignment="1" applyProtection="1">
      <alignment vertical="center"/>
      <protection hidden="1"/>
    </xf>
    <xf numFmtId="0" fontId="0" fillId="3" borderId="9" xfId="0" applyFont="1" applyFill="1" applyBorder="1" applyAlignment="1" applyProtection="1" quotePrefix="1">
      <alignment horizontal="left" vertical="center"/>
      <protection hidden="1"/>
    </xf>
    <xf numFmtId="0" fontId="0" fillId="3" borderId="9" xfId="0" applyFont="1" applyFill="1" applyBorder="1" applyAlignment="1" applyProtection="1">
      <alignment horizontal="left" vertical="center"/>
      <protection hidden="1"/>
    </xf>
    <xf numFmtId="0" fontId="0" fillId="3" borderId="3" xfId="0" applyFont="1" applyFill="1" applyBorder="1" applyAlignment="1" applyProtection="1" quotePrefix="1">
      <alignment horizontal="left" vertical="center"/>
      <protection hidden="1"/>
    </xf>
    <xf numFmtId="0" fontId="0" fillId="3" borderId="19" xfId="0" applyFont="1" applyFill="1" applyBorder="1" applyAlignment="1" applyProtection="1" quotePrefix="1">
      <alignment horizontal="left" vertical="center"/>
      <protection hidden="1"/>
    </xf>
    <xf numFmtId="0" fontId="0" fillId="3" borderId="3" xfId="0" applyFont="1" applyFill="1" applyBorder="1" applyAlignment="1" applyProtection="1">
      <alignment horizontal="left" vertical="center"/>
      <protection hidden="1"/>
    </xf>
    <xf numFmtId="0" fontId="0" fillId="0" borderId="9" xfId="0" applyFont="1" applyBorder="1" applyAlignment="1" applyProtection="1">
      <alignment vertical="center"/>
      <protection hidden="1"/>
    </xf>
    <xf numFmtId="0" fontId="0" fillId="3" borderId="5" xfId="0" applyFont="1" applyFill="1" applyBorder="1" applyAlignment="1" applyProtection="1" quotePrefix="1">
      <alignment horizontal="left" vertical="center"/>
      <protection hidden="1"/>
    </xf>
    <xf numFmtId="0" fontId="0" fillId="0" borderId="13" xfId="0" applyFont="1" applyBorder="1" applyAlignment="1" applyProtection="1">
      <alignment vertical="center"/>
      <protection hidden="1"/>
    </xf>
    <xf numFmtId="0" fontId="0" fillId="3" borderId="10" xfId="0" applyFont="1" applyFill="1" applyBorder="1" applyAlignment="1" applyProtection="1" quotePrefix="1">
      <alignment horizontal="left"/>
      <protection hidden="1"/>
    </xf>
    <xf numFmtId="0" fontId="0" fillId="3" borderId="9" xfId="0" applyFont="1" applyFill="1" applyBorder="1" applyAlignment="1" applyProtection="1">
      <alignment horizontal="left"/>
      <protection hidden="1"/>
    </xf>
    <xf numFmtId="0" fontId="0" fillId="3" borderId="38" xfId="0" applyFont="1" applyFill="1" applyBorder="1" applyAlignment="1" applyProtection="1">
      <alignment horizontal="left" vertical="center"/>
      <protection hidden="1"/>
    </xf>
    <xf numFmtId="0" fontId="0" fillId="3" borderId="6" xfId="0" applyFont="1" applyFill="1" applyBorder="1" applyAlignment="1" applyProtection="1">
      <alignment vertical="center"/>
      <protection hidden="1"/>
    </xf>
    <xf numFmtId="0" fontId="11" fillId="0" borderId="18" xfId="0" applyFont="1" applyBorder="1" applyAlignment="1" applyProtection="1">
      <alignment horizontal="center"/>
      <protection hidden="1"/>
    </xf>
    <xf numFmtId="0" fontId="0" fillId="3" borderId="18" xfId="0" applyFont="1" applyFill="1" applyBorder="1" applyAlignment="1" applyProtection="1">
      <alignment vertical="center"/>
      <protection hidden="1"/>
    </xf>
    <xf numFmtId="0" fontId="0" fillId="3" borderId="19" xfId="0" applyFont="1" applyFill="1" applyBorder="1" applyAlignment="1" applyProtection="1">
      <alignment vertical="center"/>
      <protection hidden="1"/>
    </xf>
    <xf numFmtId="0" fontId="0" fillId="3" borderId="30" xfId="0" applyFont="1" applyFill="1" applyBorder="1" applyAlignment="1" applyProtection="1">
      <alignment vertical="center"/>
      <protection hidden="1"/>
    </xf>
    <xf numFmtId="0" fontId="0" fillId="3" borderId="5" xfId="0" applyFont="1" applyFill="1" applyBorder="1" applyAlignment="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6" fillId="0" borderId="0" xfId="0" applyFont="1" applyAlignment="1" applyProtection="1">
      <alignment horizontal="centerContinuous" vertical="center"/>
      <protection hidden="1"/>
    </xf>
    <xf numFmtId="206" fontId="6" fillId="0" borderId="1" xfId="0" applyNumberFormat="1" applyFont="1" applyFill="1" applyBorder="1" applyAlignment="1" applyProtection="1">
      <alignment horizontal="centerContinuous" vertical="center"/>
      <protection hidden="1"/>
    </xf>
    <xf numFmtId="0" fontId="0" fillId="0" borderId="41" xfId="0" applyFont="1" applyBorder="1" applyAlignment="1" applyProtection="1">
      <alignment horizontal="centerContinuous" vertical="center"/>
      <protection hidden="1"/>
    </xf>
    <xf numFmtId="0" fontId="0" fillId="0" borderId="42" xfId="0" applyFont="1" applyBorder="1" applyAlignment="1" applyProtection="1">
      <alignment horizontal="centerContinuous" vertical="center"/>
      <protection hidden="1"/>
    </xf>
    <xf numFmtId="219" fontId="6" fillId="0" borderId="3" xfId="0" applyNumberFormat="1" applyFont="1" applyBorder="1" applyAlignment="1" applyProtection="1">
      <alignment horizontal="centerContinuous" vertical="center"/>
      <protection hidden="1"/>
    </xf>
    <xf numFmtId="2" fontId="6" fillId="0" borderId="3" xfId="0" applyNumberFormat="1" applyFont="1" applyBorder="1" applyAlignment="1" applyProtection="1">
      <alignment horizontal="center" vertical="center"/>
      <protection hidden="1"/>
    </xf>
    <xf numFmtId="189" fontId="6" fillId="0" borderId="12" xfId="0" applyNumberFormat="1" applyFont="1" applyFill="1" applyBorder="1" applyAlignment="1" applyProtection="1">
      <alignment horizontal="centerContinuous" vertical="center"/>
      <protection hidden="1"/>
    </xf>
    <xf numFmtId="0" fontId="6" fillId="0" borderId="3" xfId="0" applyNumberFormat="1" applyFont="1" applyBorder="1" applyAlignment="1" applyProtection="1">
      <alignment horizontal="centerContinuous" vertical="center"/>
      <protection hidden="1"/>
    </xf>
    <xf numFmtId="0" fontId="0" fillId="0" borderId="9" xfId="0" applyNumberFormat="1" applyFont="1" applyBorder="1" applyAlignment="1" applyProtection="1">
      <alignment horizontal="centerContinuous" vertical="center"/>
      <protection hidden="1"/>
    </xf>
    <xf numFmtId="1" fontId="6" fillId="0" borderId="27" xfId="0" applyNumberFormat="1" applyFont="1" applyFill="1" applyBorder="1" applyAlignment="1" applyProtection="1">
      <alignment horizontal="center" vertical="center"/>
      <protection hidden="1"/>
    </xf>
    <xf numFmtId="1" fontId="6" fillId="0" borderId="22" xfId="0" applyNumberFormat="1" applyFont="1" applyFill="1" applyBorder="1" applyAlignment="1" applyProtection="1">
      <alignment horizontal="center" vertical="center"/>
      <protection hidden="1"/>
    </xf>
    <xf numFmtId="187" fontId="6" fillId="0" borderId="27" xfId="0" applyNumberFormat="1" applyFont="1" applyFill="1" applyBorder="1" applyAlignment="1" applyProtection="1">
      <alignment horizontal="center" vertical="center"/>
      <protection hidden="1"/>
    </xf>
    <xf numFmtId="187" fontId="6" fillId="0" borderId="27" xfId="0" applyNumberFormat="1" applyFont="1" applyBorder="1" applyAlignment="1" applyProtection="1">
      <alignment horizontal="center" vertical="center"/>
      <protection hidden="1"/>
    </xf>
    <xf numFmtId="187" fontId="6" fillId="0" borderId="22" xfId="0" applyNumberFormat="1" applyFont="1" applyBorder="1" applyAlignment="1" applyProtection="1">
      <alignment horizontal="center" vertical="center"/>
      <protection hidden="1"/>
    </xf>
    <xf numFmtId="1" fontId="6" fillId="0" borderId="26" xfId="0" applyNumberFormat="1" applyFont="1" applyBorder="1" applyAlignment="1" applyProtection="1">
      <alignment horizontal="center" vertical="center"/>
      <protection hidden="1"/>
    </xf>
    <xf numFmtId="1" fontId="6" fillId="0" borderId="21" xfId="0" applyNumberFormat="1" applyFont="1" applyBorder="1" applyAlignment="1" applyProtection="1">
      <alignment horizontal="center" vertical="center"/>
      <protection hidden="1"/>
    </xf>
    <xf numFmtId="0" fontId="6" fillId="0" borderId="26" xfId="0" applyNumberFormat="1" applyFont="1" applyBorder="1" applyAlignment="1" applyProtection="1">
      <alignment horizontal="center" vertical="center"/>
      <protection hidden="1"/>
    </xf>
    <xf numFmtId="0" fontId="6" fillId="0" borderId="21" xfId="0" applyNumberFormat="1" applyFont="1" applyBorder="1" applyAlignment="1" applyProtection="1">
      <alignment horizontal="center" vertical="center"/>
      <protection hidden="1"/>
    </xf>
    <xf numFmtId="187" fontId="6" fillId="0" borderId="37" xfId="0" applyNumberFormat="1" applyFont="1" applyBorder="1" applyAlignment="1" applyProtection="1">
      <alignment horizontal="center" vertical="center"/>
      <protection hidden="1"/>
    </xf>
    <xf numFmtId="0" fontId="0" fillId="0" borderId="8" xfId="0" applyFont="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36" xfId="0" applyFont="1" applyBorder="1" applyAlignment="1" applyProtection="1">
      <alignment/>
      <protection hidden="1"/>
    </xf>
    <xf numFmtId="0" fontId="9" fillId="5" borderId="0" xfId="0" applyFont="1" applyFill="1" applyBorder="1" applyAlignment="1" applyProtection="1">
      <alignment horizontal="left" vertical="center"/>
      <protection locked="0"/>
    </xf>
    <xf numFmtId="0" fontId="0" fillId="0" borderId="4" xfId="0" applyFont="1" applyBorder="1" applyAlignment="1" applyProtection="1">
      <alignment horizontal="center" vertical="center"/>
      <protection hidden="1"/>
    </xf>
    <xf numFmtId="0" fontId="0" fillId="0" borderId="18" xfId="0" applyFont="1" applyBorder="1" applyAlignment="1" applyProtection="1">
      <alignment horizontal="left"/>
      <protection hidden="1"/>
    </xf>
    <xf numFmtId="0" fontId="0" fillId="0" borderId="20" xfId="0" applyFont="1" applyBorder="1" applyAlignment="1" applyProtection="1">
      <alignment horizontal="left"/>
      <protection hidden="1"/>
    </xf>
    <xf numFmtId="0" fontId="0" fillId="5" borderId="21" xfId="0" applyFont="1" applyFill="1" applyBorder="1" applyAlignment="1" applyProtection="1">
      <alignment horizontal="center" vertical="center"/>
      <protection locked="0"/>
    </xf>
    <xf numFmtId="0" fontId="9" fillId="5" borderId="27" xfId="0" applyNumberFormat="1" applyFont="1" applyFill="1" applyBorder="1" applyAlignment="1" applyProtection="1">
      <alignment horizontal="center" vertical="center"/>
      <protection locked="0"/>
    </xf>
    <xf numFmtId="186" fontId="6" fillId="0" borderId="27" xfId="0" applyNumberFormat="1"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0" fillId="0" borderId="0" xfId="0" applyFont="1" applyAlignment="1" applyProtection="1">
      <alignment/>
      <protection hidden="1"/>
    </xf>
    <xf numFmtId="0" fontId="19" fillId="0" borderId="0" xfId="0" applyFont="1" applyAlignment="1" applyProtection="1">
      <alignment vertical="center"/>
      <protection hidden="1"/>
    </xf>
    <xf numFmtId="0" fontId="25" fillId="0" borderId="0" xfId="0" applyFont="1" applyAlignment="1" applyProtection="1">
      <alignment vertical="center"/>
      <protection hidden="1"/>
    </xf>
    <xf numFmtId="0" fontId="1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21" fillId="5" borderId="0" xfId="0" applyFont="1" applyFill="1" applyAlignment="1" applyProtection="1">
      <alignment horizontal="left" vertical="top" wrapText="1"/>
      <protection locked="0"/>
    </xf>
    <xf numFmtId="0" fontId="30" fillId="5" borderId="0" xfId="0" applyFont="1" applyFill="1" applyAlignment="1" applyProtection="1">
      <alignment horizontal="left" vertical="top" wrapText="1"/>
      <protection locked="0"/>
    </xf>
    <xf numFmtId="0" fontId="0" fillId="0" borderId="1" xfId="0" applyBorder="1" applyAlignment="1" applyProtection="1">
      <alignment horizontal="center"/>
      <protection hidden="1"/>
    </xf>
    <xf numFmtId="0" fontId="7" fillId="0" borderId="43"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32" fillId="2" borderId="44" xfId="0" applyFont="1" applyFill="1" applyBorder="1" applyAlignment="1" applyProtection="1">
      <alignment horizontal="center" vertical="center"/>
      <protection hidden="1"/>
    </xf>
    <xf numFmtId="0" fontId="26" fillId="0" borderId="44" xfId="0" applyFont="1" applyBorder="1" applyAlignment="1" applyProtection="1">
      <alignment horizontal="center" vertical="center"/>
      <protection hidden="1"/>
    </xf>
    <xf numFmtId="0" fontId="7" fillId="2" borderId="45" xfId="0" applyFont="1" applyFill="1" applyBorder="1" applyAlignment="1" applyProtection="1">
      <alignment horizontal="center" vertical="center"/>
      <protection hidden="1"/>
    </xf>
    <xf numFmtId="0" fontId="0" fillId="0" borderId="2" xfId="0" applyBorder="1" applyAlignment="1" applyProtection="1">
      <alignment/>
      <protection hidden="1"/>
    </xf>
    <xf numFmtId="0" fontId="0" fillId="4" borderId="7" xfId="0" applyFill="1" applyBorder="1" applyAlignment="1" applyProtection="1">
      <alignment/>
      <protection hidden="1"/>
    </xf>
    <xf numFmtId="0" fontId="0" fillId="0" borderId="7" xfId="0" applyFill="1" applyBorder="1" applyAlignment="1" applyProtection="1">
      <alignment/>
      <protection hidden="1"/>
    </xf>
    <xf numFmtId="0" fontId="0" fillId="0" borderId="0" xfId="0" applyBorder="1" applyAlignment="1" applyProtection="1">
      <alignment/>
      <protection hidden="1"/>
    </xf>
    <xf numFmtId="0" fontId="32" fillId="2" borderId="32" xfId="0" applyFont="1" applyFill="1" applyBorder="1" applyAlignment="1" applyProtection="1">
      <alignment horizontal="center" vertical="center"/>
      <protection hidden="1"/>
    </xf>
    <xf numFmtId="0" fontId="26" fillId="0" borderId="32" xfId="0" applyFont="1" applyBorder="1" applyAlignment="1" applyProtection="1">
      <alignment horizontal="center" vertical="center"/>
      <protection hidden="1"/>
    </xf>
    <xf numFmtId="0" fontId="7" fillId="2" borderId="22" xfId="0" applyFont="1" applyFill="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32" fillId="0" borderId="32" xfId="0" applyFont="1" applyBorder="1" applyAlignment="1" applyProtection="1">
      <alignment horizontal="center" vertical="center"/>
      <protection hidden="1"/>
    </xf>
    <xf numFmtId="0" fontId="6" fillId="0" borderId="0" xfId="0" applyFont="1" applyAlignment="1" applyProtection="1">
      <alignment/>
      <protection hidden="1"/>
    </xf>
    <xf numFmtId="0" fontId="35"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0" fillId="0" borderId="35" xfId="0" applyFont="1" applyBorder="1" applyAlignment="1" applyProtection="1">
      <alignment horizontal="left" vertical="center" wrapText="1"/>
      <protection hidden="1"/>
    </xf>
    <xf numFmtId="0" fontId="6" fillId="0" borderId="26"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186" fontId="6" fillId="0" borderId="32" xfId="0" applyNumberFormat="1" applyFont="1" applyFill="1" applyBorder="1" applyAlignment="1" applyProtection="1">
      <alignment horizontal="center" vertical="center"/>
      <protection hidden="1"/>
    </xf>
    <xf numFmtId="186" fontId="6" fillId="0" borderId="22" xfId="0" applyNumberFormat="1" applyFont="1" applyFill="1" applyBorder="1" applyAlignment="1" applyProtection="1">
      <alignment horizontal="center" vertical="center"/>
      <protection hidden="1"/>
    </xf>
    <xf numFmtId="0" fontId="0" fillId="0" borderId="19" xfId="0" applyFont="1" applyBorder="1" applyAlignment="1" applyProtection="1">
      <alignment horizontal="left" vertical="center" wrapText="1"/>
      <protection hidden="1"/>
    </xf>
    <xf numFmtId="0" fontId="28" fillId="0" borderId="0" xfId="0" applyFont="1" applyAlignment="1" applyProtection="1">
      <alignment/>
      <protection hidden="1"/>
    </xf>
    <xf numFmtId="0" fontId="28" fillId="0" borderId="0" xfId="0" applyFont="1" applyBorder="1" applyAlignment="1" applyProtection="1">
      <alignment horizontal="center" vertical="center" textRotation="90"/>
      <protection hidden="1"/>
    </xf>
    <xf numFmtId="0" fontId="7" fillId="0" borderId="0" xfId="0" applyFont="1" applyAlignment="1" applyProtection="1">
      <alignment horizontal="center"/>
      <protection hidden="1"/>
    </xf>
    <xf numFmtId="187" fontId="21" fillId="5" borderId="5" xfId="0" applyNumberFormat="1" applyFont="1" applyFill="1" applyBorder="1" applyAlignment="1" applyProtection="1">
      <alignment horizontal="center" vertical="center"/>
      <protection locked="0"/>
    </xf>
    <xf numFmtId="187" fontId="21" fillId="5" borderId="46" xfId="0" applyNumberFormat="1" applyFont="1" applyFill="1" applyBorder="1" applyAlignment="1" applyProtection="1">
      <alignment horizontal="center" vertical="center"/>
      <protection locked="0"/>
    </xf>
    <xf numFmtId="187" fontId="21" fillId="5" borderId="4" xfId="0" applyNumberFormat="1" applyFont="1" applyFill="1" applyBorder="1" applyAlignment="1" applyProtection="1">
      <alignment horizontal="center" vertical="center"/>
      <protection locked="0"/>
    </xf>
    <xf numFmtId="0" fontId="21" fillId="5" borderId="47" xfId="0" applyFont="1" applyFill="1" applyBorder="1" applyAlignment="1" applyProtection="1">
      <alignment horizontal="left" vertical="center"/>
      <protection locked="0"/>
    </xf>
    <xf numFmtId="0" fontId="7" fillId="0" borderId="0" xfId="0" applyFont="1" applyBorder="1" applyAlignment="1" applyProtection="1">
      <alignment vertical="center"/>
      <protection hidden="1"/>
    </xf>
    <xf numFmtId="0" fontId="0" fillId="0" borderId="0" xfId="0" applyBorder="1" applyAlignment="1" applyProtection="1">
      <alignment/>
      <protection hidden="1"/>
    </xf>
    <xf numFmtId="0" fontId="0" fillId="0" borderId="0" xfId="0" applyFont="1" applyBorder="1" applyAlignment="1" applyProtection="1">
      <alignment/>
      <protection hidden="1"/>
    </xf>
    <xf numFmtId="0" fontId="19" fillId="0" borderId="0" xfId="0" applyFont="1" applyAlignment="1" applyProtection="1">
      <alignment horizontal="left" vertical="top" wrapText="1"/>
      <protection hidden="1"/>
    </xf>
    <xf numFmtId="0" fontId="6" fillId="0" borderId="15" xfId="0" applyFont="1" applyBorder="1" applyAlignment="1" applyProtection="1" quotePrefix="1">
      <alignment vertical="center"/>
      <protection hidden="1"/>
    </xf>
    <xf numFmtId="0" fontId="37" fillId="0" borderId="0" xfId="18" applyFont="1" applyAlignment="1" applyProtection="1">
      <alignment vertical="center"/>
      <protection hidden="1"/>
    </xf>
    <xf numFmtId="0" fontId="37" fillId="0" borderId="0" xfId="0" applyFont="1" applyAlignment="1" applyProtection="1">
      <alignment/>
      <protection hidden="1"/>
    </xf>
    <xf numFmtId="0" fontId="19" fillId="0" borderId="0" xfId="0" applyFont="1" applyAlignment="1" applyProtection="1" quotePrefix="1">
      <alignment horizontal="left" vertical="center"/>
      <protection hidden="1"/>
    </xf>
    <xf numFmtId="0" fontId="25" fillId="0" borderId="48" xfId="0" applyFont="1" applyFill="1" applyBorder="1" applyAlignment="1" applyProtection="1">
      <alignment horizontal="left"/>
      <protection hidden="1"/>
    </xf>
    <xf numFmtId="0" fontId="19" fillId="0" borderId="49" xfId="0" applyFont="1" applyFill="1" applyBorder="1" applyAlignment="1" applyProtection="1">
      <alignment horizontal="center" vertical="top" wrapText="1"/>
      <protection hidden="1"/>
    </xf>
    <xf numFmtId="0" fontId="19" fillId="0" borderId="49" xfId="0" applyFont="1" applyFill="1" applyBorder="1" applyAlignment="1" applyProtection="1">
      <alignment horizontal="left" vertical="top" wrapText="1"/>
      <protection hidden="1"/>
    </xf>
    <xf numFmtId="0" fontId="25" fillId="0" borderId="49" xfId="0" applyFont="1" applyFill="1" applyBorder="1" applyAlignment="1" applyProtection="1">
      <alignment horizontal="right"/>
      <protection hidden="1"/>
    </xf>
    <xf numFmtId="0" fontId="25" fillId="0" borderId="50" xfId="0" applyFont="1" applyFill="1" applyBorder="1" applyAlignment="1" applyProtection="1">
      <alignment horizontal="left" vertical="center"/>
      <protection hidden="1"/>
    </xf>
    <xf numFmtId="0" fontId="19" fillId="0" borderId="51" xfId="0" applyFont="1" applyFill="1" applyBorder="1" applyAlignment="1" applyProtection="1">
      <alignment horizontal="center" vertical="top" wrapText="1"/>
      <protection hidden="1"/>
    </xf>
    <xf numFmtId="0" fontId="19" fillId="0" borderId="51" xfId="0" applyFont="1" applyFill="1" applyBorder="1" applyAlignment="1" applyProtection="1">
      <alignment horizontal="left" vertical="top" wrapText="1"/>
      <protection hidden="1"/>
    </xf>
    <xf numFmtId="0" fontId="25" fillId="0" borderId="51" xfId="0" applyFont="1" applyFill="1" applyBorder="1" applyAlignment="1" applyProtection="1">
      <alignment horizontal="right" vertical="center"/>
      <protection hidden="1"/>
    </xf>
    <xf numFmtId="0" fontId="22" fillId="0" borderId="0" xfId="0" applyFont="1" applyBorder="1" applyAlignment="1" applyProtection="1">
      <alignment horizontal="center" vertical="center" wrapText="1"/>
      <protection hidden="1"/>
    </xf>
    <xf numFmtId="0" fontId="25" fillId="0" borderId="52" xfId="0" applyFont="1" applyFill="1" applyBorder="1" applyAlignment="1" applyProtection="1">
      <alignment horizontal="left" vertical="center"/>
      <protection hidden="1"/>
    </xf>
    <xf numFmtId="0" fontId="19" fillId="0" borderId="53" xfId="0" applyFont="1" applyFill="1" applyBorder="1" applyAlignment="1" applyProtection="1">
      <alignment horizontal="center" vertical="top" wrapText="1"/>
      <protection hidden="1"/>
    </xf>
    <xf numFmtId="0" fontId="19" fillId="0" borderId="53" xfId="0" applyFont="1" applyFill="1" applyBorder="1" applyAlignment="1" applyProtection="1">
      <alignment horizontal="left" vertical="top" wrapText="1"/>
      <protection hidden="1"/>
    </xf>
    <xf numFmtId="0" fontId="25" fillId="0" borderId="53" xfId="0" applyFont="1" applyFill="1" applyBorder="1" applyAlignment="1" applyProtection="1">
      <alignment horizontal="right" vertical="center"/>
      <protection hidden="1"/>
    </xf>
    <xf numFmtId="0" fontId="19" fillId="0" borderId="0" xfId="0" applyFont="1" applyBorder="1" applyAlignment="1" applyProtection="1">
      <alignment/>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wrapText="1"/>
      <protection hidden="1"/>
    </xf>
    <xf numFmtId="0" fontId="41" fillId="0" borderId="0" xfId="0" applyFont="1" applyBorder="1" applyAlignment="1" applyProtection="1">
      <alignment horizontal="left" vertical="center" wrapText="1"/>
      <protection hidden="1"/>
    </xf>
    <xf numFmtId="0" fontId="41" fillId="0" borderId="0" xfId="0" applyFont="1" applyBorder="1" applyAlignment="1" applyProtection="1">
      <alignment vertical="center" wrapText="1"/>
      <protection hidden="1"/>
    </xf>
    <xf numFmtId="0" fontId="19" fillId="0" borderId="0" xfId="0" applyFont="1" applyAlignment="1" applyProtection="1">
      <alignment vertical="top"/>
      <protection hidden="1"/>
    </xf>
    <xf numFmtId="0" fontId="42" fillId="0" borderId="0" xfId="0" applyFont="1" applyAlignment="1" applyProtection="1">
      <alignment horizontal="center" vertical="center"/>
      <protection hidden="1"/>
    </xf>
    <xf numFmtId="0" fontId="25" fillId="0" borderId="0" xfId="0" applyFont="1" applyAlignment="1" applyProtection="1">
      <alignment vertical="top"/>
      <protection hidden="1"/>
    </xf>
    <xf numFmtId="0" fontId="40" fillId="0" borderId="0" xfId="0" applyFont="1" applyAlignment="1" applyProtection="1">
      <alignment vertical="center" wrapText="1"/>
      <protection hidden="1"/>
    </xf>
    <xf numFmtId="0" fontId="41" fillId="0" borderId="0" xfId="0" applyFont="1" applyAlignment="1" applyProtection="1">
      <alignment vertical="center" wrapText="1"/>
      <protection hidden="1"/>
    </xf>
    <xf numFmtId="0" fontId="39" fillId="0" borderId="0" xfId="0" applyFont="1" applyAlignment="1" applyProtection="1">
      <alignment horizontal="center" vertical="center"/>
      <protection hidden="1"/>
    </xf>
    <xf numFmtId="0" fontId="19" fillId="0" borderId="0" xfId="0" applyFont="1" applyAlignment="1" applyProtection="1">
      <alignment horizontal="center" vertical="center" wrapText="1"/>
      <protection hidden="1"/>
    </xf>
    <xf numFmtId="216" fontId="40" fillId="0" borderId="0" xfId="0" applyNumberFormat="1" applyFont="1" applyAlignment="1" applyProtection="1">
      <alignment horizontal="right" vertical="top" wrapText="1"/>
      <protection hidden="1"/>
    </xf>
    <xf numFmtId="216" fontId="41" fillId="0" borderId="0" xfId="0" applyNumberFormat="1" applyFont="1" applyAlignment="1" applyProtection="1">
      <alignment horizontal="right" vertical="top" wrapText="1"/>
      <protection hidden="1"/>
    </xf>
    <xf numFmtId="0" fontId="19" fillId="0" borderId="0" xfId="0" applyFont="1" applyAlignment="1" applyProtection="1">
      <alignment horizontal="justify" vertical="center"/>
      <protection hidden="1"/>
    </xf>
    <xf numFmtId="0" fontId="38" fillId="0" borderId="0" xfId="0" applyFont="1" applyAlignment="1" applyProtection="1">
      <alignment/>
      <protection hidden="1"/>
    </xf>
    <xf numFmtId="0" fontId="40" fillId="0" borderId="0" xfId="0" applyFont="1" applyAlignment="1" applyProtection="1">
      <alignment/>
      <protection hidden="1"/>
    </xf>
    <xf numFmtId="0" fontId="19" fillId="0" borderId="0" xfId="0" applyFont="1" applyAlignment="1" applyProtection="1">
      <alignment horizontal="right" vertical="center"/>
      <protection hidden="1"/>
    </xf>
    <xf numFmtId="216" fontId="40" fillId="0" borderId="0" xfId="0" applyNumberFormat="1" applyFont="1" applyAlignment="1" applyProtection="1">
      <alignment vertical="top" wrapText="1"/>
      <protection hidden="1"/>
    </xf>
    <xf numFmtId="216" fontId="41" fillId="0" borderId="0" xfId="0" applyNumberFormat="1" applyFont="1" applyAlignment="1" applyProtection="1">
      <alignment vertical="top" wrapText="1"/>
      <protection hidden="1"/>
    </xf>
    <xf numFmtId="0" fontId="0" fillId="0" borderId="0" xfId="0" applyFont="1" applyAlignment="1" applyProtection="1" quotePrefix="1">
      <alignment horizontal="right" vertical="center"/>
      <protection hidden="1"/>
    </xf>
    <xf numFmtId="0" fontId="19" fillId="0" borderId="54" xfId="0" applyFont="1" applyBorder="1" applyAlignment="1" applyProtection="1">
      <alignment horizontal="center" vertical="center" wrapText="1"/>
      <protection hidden="1"/>
    </xf>
    <xf numFmtId="0" fontId="41" fillId="0" borderId="0" xfId="0" applyFont="1" applyAlignment="1" applyProtection="1">
      <alignment vertical="center"/>
      <protection hidden="1"/>
    </xf>
    <xf numFmtId="0" fontId="19" fillId="0" borderId="49" xfId="0" applyFont="1" applyFill="1" applyBorder="1" applyAlignment="1" applyProtection="1">
      <alignment vertical="center"/>
      <protection hidden="1"/>
    </xf>
    <xf numFmtId="0" fontId="19" fillId="0" borderId="55" xfId="0" applyFont="1" applyBorder="1" applyAlignment="1" applyProtection="1">
      <alignment vertical="center"/>
      <protection hidden="1"/>
    </xf>
    <xf numFmtId="0" fontId="19" fillId="0" borderId="56" xfId="0" applyFont="1" applyBorder="1" applyAlignment="1" applyProtection="1">
      <alignment vertical="center"/>
      <protection hidden="1"/>
    </xf>
    <xf numFmtId="0" fontId="19" fillId="0" borderId="57"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40" fillId="0" borderId="0" xfId="0" applyFont="1" applyBorder="1" applyAlignment="1" applyProtection="1">
      <alignment vertical="center"/>
      <protection hidden="1"/>
    </xf>
    <xf numFmtId="0" fontId="41"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43" fillId="0" borderId="0" xfId="0" applyFont="1" applyAlignment="1" applyProtection="1">
      <alignment vertical="center"/>
      <protection hidden="1"/>
    </xf>
    <xf numFmtId="0" fontId="25" fillId="0" borderId="0" xfId="0" applyFont="1" applyBorder="1" applyAlignment="1" applyProtection="1">
      <alignment vertical="center"/>
      <protection hidden="1"/>
    </xf>
    <xf numFmtId="0" fontId="19" fillId="0" borderId="0" xfId="0" applyFont="1" applyBorder="1" applyAlignment="1" applyProtection="1">
      <alignment horizontal="left" vertical="center"/>
      <protection hidden="1"/>
    </xf>
    <xf numFmtId="0" fontId="41" fillId="0" borderId="0" xfId="0" applyFont="1" applyBorder="1" applyAlignment="1" applyProtection="1" quotePrefix="1">
      <alignment horizontal="left" vertical="center"/>
      <protection hidden="1"/>
    </xf>
    <xf numFmtId="0" fontId="41" fillId="0" borderId="0" xfId="0" applyFont="1" applyBorder="1" applyAlignment="1" applyProtection="1">
      <alignment vertical="top"/>
      <protection hidden="1"/>
    </xf>
    <xf numFmtId="0" fontId="41" fillId="3" borderId="0" xfId="0" applyFont="1" applyFill="1" applyBorder="1" applyAlignment="1" applyProtection="1" quotePrefix="1">
      <alignment horizontal="left" vertical="center"/>
      <protection hidden="1"/>
    </xf>
    <xf numFmtId="0" fontId="41" fillId="0" borderId="0" xfId="0"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0" fontId="41" fillId="0" borderId="0" xfId="0" applyFont="1" applyBorder="1" applyAlignment="1" applyProtection="1">
      <alignment/>
      <protection hidden="1"/>
    </xf>
    <xf numFmtId="0" fontId="11" fillId="3" borderId="36" xfId="0" applyFont="1" applyFill="1" applyBorder="1" applyAlignment="1" applyProtection="1" quotePrefix="1">
      <alignment horizontal="left" vertical="center"/>
      <protection hidden="1"/>
    </xf>
    <xf numFmtId="0" fontId="41" fillId="0" borderId="0" xfId="0" applyFont="1" applyAlignment="1" applyProtection="1">
      <alignment/>
      <protection hidden="1"/>
    </xf>
    <xf numFmtId="0" fontId="43" fillId="0" borderId="0" xfId="0" applyFont="1" applyAlignment="1" applyProtection="1">
      <alignment/>
      <protection hidden="1"/>
    </xf>
    <xf numFmtId="0" fontId="46" fillId="0" borderId="0" xfId="0" applyFont="1" applyAlignment="1" applyProtection="1">
      <alignment horizontal="left" vertical="center"/>
      <protection hidden="1"/>
    </xf>
    <xf numFmtId="0" fontId="25" fillId="0" borderId="0" xfId="0" applyFont="1" applyAlignment="1" applyProtection="1">
      <alignment horizontal="center" vertical="center"/>
      <protection hidden="1"/>
    </xf>
    <xf numFmtId="0" fontId="7" fillId="3" borderId="0" xfId="0" applyFont="1" applyFill="1" applyBorder="1" applyAlignment="1" applyProtection="1" quotePrefix="1">
      <alignment horizontal="left" vertical="center"/>
      <protection hidden="1"/>
    </xf>
    <xf numFmtId="0" fontId="45" fillId="0" borderId="0" xfId="0" applyFont="1" applyAlignment="1" applyProtection="1">
      <alignment vertical="center"/>
      <protection hidden="1"/>
    </xf>
    <xf numFmtId="0" fontId="47" fillId="0" borderId="0" xfId="0" applyFont="1" applyAlignment="1" applyProtection="1">
      <alignment horizontal="center" vertical="center"/>
      <protection hidden="1"/>
    </xf>
    <xf numFmtId="0" fontId="7" fillId="0" borderId="0" xfId="0" applyFont="1" applyAlignment="1" applyProtection="1">
      <alignment horizontal="centerContinuous" vertical="center"/>
      <protection hidden="1"/>
    </xf>
    <xf numFmtId="0" fontId="7" fillId="0" borderId="0" xfId="0" applyFont="1" applyFill="1" applyBorder="1" applyAlignment="1" applyProtection="1" quotePrefix="1">
      <alignment horizontal="left" vertical="center"/>
      <protection hidden="1"/>
    </xf>
    <xf numFmtId="0" fontId="7" fillId="3" borderId="0" xfId="0" applyFont="1" applyFill="1" applyBorder="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48" fillId="0" borderId="0" xfId="0" applyFont="1" applyAlignment="1" applyProtection="1">
      <alignment horizontal="right" vertical="center"/>
      <protection hidden="1"/>
    </xf>
    <xf numFmtId="0" fontId="45" fillId="0" borderId="0" xfId="0" applyFont="1" applyAlignment="1" applyProtection="1">
      <alignment horizontal="left" vertical="center"/>
      <protection hidden="1"/>
    </xf>
    <xf numFmtId="0" fontId="0" fillId="0" borderId="20" xfId="0" applyFont="1" applyBorder="1" applyAlignment="1" applyProtection="1">
      <alignment horizontal="center"/>
      <protection hidden="1"/>
    </xf>
    <xf numFmtId="0" fontId="11" fillId="0" borderId="58" xfId="0" applyFont="1" applyFill="1" applyBorder="1" applyAlignment="1" applyProtection="1">
      <alignment horizontal="center" vertical="center"/>
      <protection hidden="1"/>
    </xf>
    <xf numFmtId="221" fontId="6" fillId="0" borderId="1" xfId="0" applyNumberFormat="1" applyFont="1" applyFill="1" applyBorder="1" applyAlignment="1" applyProtection="1">
      <alignment horizontal="center" vertical="center"/>
      <protection hidden="1"/>
    </xf>
    <xf numFmtId="221" fontId="6" fillId="0" borderId="11" xfId="0" applyNumberFormat="1" applyFont="1" applyFill="1" applyBorder="1" applyAlignment="1" applyProtection="1">
      <alignment horizontal="center" vertical="center"/>
      <protection hidden="1"/>
    </xf>
    <xf numFmtId="0" fontId="11" fillId="3" borderId="29" xfId="0" applyFont="1" applyFill="1" applyBorder="1" applyAlignment="1" applyProtection="1" quotePrefix="1">
      <alignment horizontal="left"/>
      <protection hidden="1"/>
    </xf>
    <xf numFmtId="0" fontId="0" fillId="0" borderId="29" xfId="0" applyFont="1" applyBorder="1" applyAlignment="1" applyProtection="1">
      <alignment horizontal="center"/>
      <protection hidden="1"/>
    </xf>
    <xf numFmtId="221" fontId="0" fillId="5" borderId="5" xfId="0" applyNumberFormat="1" applyFont="1" applyFill="1" applyBorder="1" applyAlignment="1" applyProtection="1">
      <alignment horizontal="center" vertical="center"/>
      <protection locked="0"/>
    </xf>
    <xf numFmtId="221" fontId="0" fillId="5" borderId="4"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protection hidden="1"/>
    </xf>
    <xf numFmtId="0" fontId="40" fillId="0" borderId="0" xfId="0" applyFont="1" applyBorder="1" applyAlignment="1" applyProtection="1">
      <alignment horizontal="center" vertical="center"/>
      <protection hidden="1"/>
    </xf>
    <xf numFmtId="0" fontId="0" fillId="0" borderId="8" xfId="0" applyFont="1" applyBorder="1" applyAlignment="1" applyProtection="1">
      <alignment horizontal="center"/>
      <protection hidden="1"/>
    </xf>
    <xf numFmtId="0" fontId="0" fillId="0" borderId="0" xfId="0" applyFont="1" applyAlignment="1" applyProtection="1">
      <alignment horizontal="left"/>
      <protection hidden="1"/>
    </xf>
    <xf numFmtId="0" fontId="6" fillId="3" borderId="0" xfId="0" applyFont="1" applyFill="1" applyBorder="1" applyAlignment="1" applyProtection="1" quotePrefix="1">
      <alignment horizontal="center" vertical="center"/>
      <protection hidden="1"/>
    </xf>
    <xf numFmtId="0" fontId="11" fillId="0" borderId="20" xfId="0" applyFont="1" applyFill="1" applyBorder="1" applyAlignment="1" applyProtection="1" quotePrefix="1">
      <alignment horizontal="left"/>
      <protection hidden="1"/>
    </xf>
    <xf numFmtId="0" fontId="11" fillId="0" borderId="20" xfId="0" applyFont="1" applyFill="1" applyBorder="1" applyAlignment="1" applyProtection="1">
      <alignment horizontal="center"/>
      <protection hidden="1"/>
    </xf>
    <xf numFmtId="187" fontId="6" fillId="0" borderId="27" xfId="0" applyNumberFormat="1" applyFont="1" applyFill="1" applyBorder="1" applyAlignment="1" applyProtection="1">
      <alignment horizontal="centerContinuous" vertical="center"/>
      <protection hidden="1"/>
    </xf>
    <xf numFmtId="187" fontId="6" fillId="0" borderId="22" xfId="0" applyNumberFormat="1" applyFont="1" applyFill="1" applyBorder="1" applyAlignment="1" applyProtection="1">
      <alignment horizontal="centerContinuous" vertical="center"/>
      <protection hidden="1"/>
    </xf>
    <xf numFmtId="187" fontId="6" fillId="0" borderId="25" xfId="0" applyNumberFormat="1" applyFont="1" applyFill="1" applyBorder="1" applyAlignment="1" applyProtection="1">
      <alignment horizontal="centerContinuous" vertical="center"/>
      <protection hidden="1"/>
    </xf>
    <xf numFmtId="0" fontId="0" fillId="3" borderId="8" xfId="0" applyFont="1" applyFill="1" applyBorder="1" applyAlignment="1" applyProtection="1">
      <alignment horizontal="left"/>
      <protection hidden="1"/>
    </xf>
    <xf numFmtId="187" fontId="6" fillId="0" borderId="37" xfId="0" applyNumberFormat="1" applyFont="1" applyFill="1" applyBorder="1" applyAlignment="1" applyProtection="1">
      <alignment horizontal="center" vertical="center"/>
      <protection hidden="1"/>
    </xf>
    <xf numFmtId="202" fontId="6" fillId="0" borderId="24" xfId="0" applyNumberFormat="1" applyFont="1" applyFill="1" applyBorder="1" applyAlignment="1" applyProtection="1">
      <alignment horizontal="centerContinuous" vertical="center"/>
      <protection hidden="1"/>
    </xf>
    <xf numFmtId="0" fontId="11" fillId="0" borderId="29" xfId="0" applyFont="1" applyFill="1" applyBorder="1" applyAlignment="1" applyProtection="1">
      <alignment horizontal="center"/>
      <protection hidden="1"/>
    </xf>
    <xf numFmtId="1" fontId="7" fillId="4" borderId="25" xfId="0" applyNumberFormat="1" applyFont="1" applyFill="1" applyBorder="1" applyAlignment="1" applyProtection="1">
      <alignment horizontal="centerContinuous" vertical="center"/>
      <protection hidden="1"/>
    </xf>
    <xf numFmtId="0" fontId="0" fillId="3" borderId="29" xfId="0" applyFont="1" applyFill="1" applyBorder="1" applyAlignment="1" applyProtection="1">
      <alignment horizontal="center"/>
      <protection hidden="1"/>
    </xf>
    <xf numFmtId="187" fontId="6" fillId="0" borderId="27" xfId="0" applyNumberFormat="1" applyFont="1" applyFill="1" applyBorder="1" applyAlignment="1" applyProtection="1" quotePrefix="1">
      <alignment horizontal="center" vertical="center"/>
      <protection hidden="1"/>
    </xf>
    <xf numFmtId="0" fontId="11" fillId="3" borderId="20" xfId="0" applyFont="1" applyFill="1" applyBorder="1" applyAlignment="1" applyProtection="1" quotePrefix="1">
      <alignment horizontal="left"/>
      <protection hidden="1"/>
    </xf>
    <xf numFmtId="187" fontId="6" fillId="0" borderId="0" xfId="0" applyNumberFormat="1" applyFont="1" applyAlignment="1" applyProtection="1">
      <alignment horizontal="left" vertical="center"/>
      <protection hidden="1"/>
    </xf>
    <xf numFmtId="187" fontId="6" fillId="0" borderId="0" xfId="0" applyNumberFormat="1" applyFont="1" applyAlignment="1" applyProtection="1">
      <alignment horizontal="left"/>
      <protection hidden="1"/>
    </xf>
    <xf numFmtId="187" fontId="6" fillId="0" borderId="37" xfId="0" applyNumberFormat="1" applyFont="1" applyFill="1" applyBorder="1" applyAlignment="1" applyProtection="1">
      <alignment horizontal="centerContinuous" vertical="center"/>
      <protection hidden="1"/>
    </xf>
    <xf numFmtId="0" fontId="0" fillId="0" borderId="20" xfId="0" applyFont="1" applyFill="1" applyBorder="1" applyAlignment="1" applyProtection="1">
      <alignment horizontal="left"/>
      <protection hidden="1"/>
    </xf>
    <xf numFmtId="0" fontId="0" fillId="0" borderId="8" xfId="0" applyFont="1" applyFill="1" applyBorder="1" applyAlignment="1" applyProtection="1">
      <alignment horizontal="left"/>
      <protection hidden="1"/>
    </xf>
    <xf numFmtId="0" fontId="0" fillId="0" borderId="0" xfId="0" applyFont="1" applyFill="1" applyAlignment="1" applyProtection="1">
      <alignment/>
      <protection hidden="1"/>
    </xf>
    <xf numFmtId="0" fontId="40" fillId="4" borderId="0" xfId="0" applyFont="1" applyFill="1" applyBorder="1" applyAlignment="1" applyProtection="1">
      <alignment horizontal="center" vertical="center"/>
      <protection hidden="1"/>
    </xf>
    <xf numFmtId="187" fontId="19" fillId="0" borderId="0" xfId="0" applyNumberFormat="1" applyFont="1" applyAlignment="1" applyProtection="1">
      <alignment horizontal="right" vertical="center"/>
      <protection hidden="1"/>
    </xf>
    <xf numFmtId="187" fontId="40" fillId="4" borderId="59" xfId="0" applyNumberFormat="1" applyFont="1" applyFill="1" applyBorder="1" applyAlignment="1" applyProtection="1">
      <alignment horizontal="right" vertical="center"/>
      <protection hidden="1"/>
    </xf>
    <xf numFmtId="187" fontId="40" fillId="4" borderId="60" xfId="0" applyNumberFormat="1" applyFont="1" applyFill="1" applyBorder="1" applyAlignment="1" applyProtection="1">
      <alignment horizontal="left" vertical="center"/>
      <protection hidden="1"/>
    </xf>
    <xf numFmtId="187" fontId="19" fillId="0" borderId="0" xfId="0" applyNumberFormat="1" applyFont="1" applyBorder="1" applyAlignment="1" applyProtection="1">
      <alignment vertical="center"/>
      <protection hidden="1"/>
    </xf>
    <xf numFmtId="188" fontId="25" fillId="0" borderId="0" xfId="0" applyNumberFormat="1" applyFont="1" applyBorder="1" applyAlignment="1" applyProtection="1" quotePrefix="1">
      <alignment horizontal="left" vertical="center"/>
      <protection hidden="1"/>
    </xf>
    <xf numFmtId="0" fontId="51" fillId="0" borderId="0" xfId="0" applyFont="1" applyAlignment="1" applyProtection="1">
      <alignment horizontal="right" vertical="center"/>
      <protection hidden="1"/>
    </xf>
    <xf numFmtId="187" fontId="19" fillId="0" borderId="0" xfId="0" applyNumberFormat="1" applyFont="1" applyAlignment="1" applyProtection="1">
      <alignment vertical="center"/>
      <protection hidden="1"/>
    </xf>
    <xf numFmtId="187" fontId="19" fillId="0" borderId="0" xfId="0" applyNumberFormat="1" applyFont="1" applyBorder="1" applyAlignment="1" applyProtection="1" quotePrefix="1">
      <alignment horizontal="left" vertical="center"/>
      <protection hidden="1"/>
    </xf>
    <xf numFmtId="187" fontId="19" fillId="0" borderId="0" xfId="0" applyNumberFormat="1" applyFont="1" applyAlignment="1" applyProtection="1">
      <alignment/>
      <protection hidden="1"/>
    </xf>
    <xf numFmtId="187" fontId="52" fillId="0" borderId="0" xfId="0" applyNumberFormat="1" applyFont="1" applyAlignment="1" applyProtection="1">
      <alignment vertical="center"/>
      <protection hidden="1"/>
    </xf>
    <xf numFmtId="187" fontId="40" fillId="2" borderId="0" xfId="0" applyNumberFormat="1" applyFont="1" applyFill="1" applyAlignment="1" applyProtection="1">
      <alignment horizontal="right" vertical="center"/>
      <protection hidden="1"/>
    </xf>
    <xf numFmtId="187" fontId="40" fillId="2" borderId="0" xfId="0" applyNumberFormat="1" applyFont="1" applyFill="1" applyBorder="1" applyAlignment="1" applyProtection="1">
      <alignment horizontal="left" vertical="center"/>
      <protection hidden="1"/>
    </xf>
    <xf numFmtId="187" fontId="40" fillId="2" borderId="0" xfId="0" applyNumberFormat="1" applyFont="1" applyFill="1" applyAlignment="1" applyProtection="1">
      <alignment horizontal="left" vertical="center"/>
      <protection hidden="1"/>
    </xf>
    <xf numFmtId="187" fontId="19" fillId="0" borderId="0" xfId="0" applyNumberFormat="1" applyFont="1" applyBorder="1" applyAlignment="1" applyProtection="1">
      <alignment/>
      <protection hidden="1"/>
    </xf>
    <xf numFmtId="187" fontId="40" fillId="0" borderId="0" xfId="0" applyNumberFormat="1" applyFont="1" applyAlignment="1" applyProtection="1">
      <alignment horizontal="right" vertical="center"/>
      <protection hidden="1"/>
    </xf>
    <xf numFmtId="187" fontId="40" fillId="0" borderId="0" xfId="0" applyNumberFormat="1" applyFont="1" applyBorder="1" applyAlignment="1" applyProtection="1">
      <alignment horizontal="left" vertical="center"/>
      <protection hidden="1"/>
    </xf>
    <xf numFmtId="187" fontId="40" fillId="0" borderId="0" xfId="0" applyNumberFormat="1" applyFont="1" applyAlignment="1" applyProtection="1">
      <alignment horizontal="left" vertical="center"/>
      <protection hidden="1"/>
    </xf>
    <xf numFmtId="187" fontId="19" fillId="0" borderId="0" xfId="0" applyNumberFormat="1" applyFont="1" applyBorder="1" applyAlignment="1" applyProtection="1">
      <alignment horizontal="left" vertical="center"/>
      <protection hidden="1"/>
    </xf>
    <xf numFmtId="187" fontId="19" fillId="0" borderId="0" xfId="0" applyNumberFormat="1" applyFont="1" applyAlignment="1" applyProtection="1">
      <alignment horizontal="left" vertical="center"/>
      <protection hidden="1"/>
    </xf>
    <xf numFmtId="187" fontId="19" fillId="0" borderId="0" xfId="0" applyNumberFormat="1" applyFont="1" applyBorder="1" applyAlignment="1" applyProtection="1">
      <alignment horizontal="right" vertical="center"/>
      <protection hidden="1"/>
    </xf>
    <xf numFmtId="204" fontId="19" fillId="0" borderId="0" xfId="0" applyNumberFormat="1" applyFont="1" applyAlignment="1" applyProtection="1">
      <alignment horizontal="left" vertical="center"/>
      <protection hidden="1"/>
    </xf>
    <xf numFmtId="204" fontId="19" fillId="0" borderId="0" xfId="0" applyNumberFormat="1" applyFont="1" applyBorder="1" applyAlignment="1" applyProtection="1">
      <alignment vertical="center"/>
      <protection hidden="1"/>
    </xf>
    <xf numFmtId="187" fontId="40" fillId="4" borderId="0" xfId="0" applyNumberFormat="1" applyFont="1" applyFill="1" applyBorder="1" applyAlignment="1" applyProtection="1">
      <alignment vertical="center"/>
      <protection hidden="1"/>
    </xf>
    <xf numFmtId="187" fontId="19" fillId="4" borderId="0" xfId="0" applyNumberFormat="1" applyFont="1" applyFill="1" applyAlignment="1" applyProtection="1">
      <alignment vertical="center"/>
      <protection hidden="1"/>
    </xf>
    <xf numFmtId="187" fontId="19" fillId="4" borderId="0" xfId="0" applyNumberFormat="1" applyFont="1" applyFill="1" applyBorder="1" applyAlignment="1" applyProtection="1">
      <alignment horizontal="left" vertical="center"/>
      <protection hidden="1"/>
    </xf>
    <xf numFmtId="186" fontId="19" fillId="0" borderId="0" xfId="0" applyNumberFormat="1" applyFont="1" applyAlignment="1" applyProtection="1">
      <alignment horizontal="right" vertical="center"/>
      <protection hidden="1"/>
    </xf>
    <xf numFmtId="187" fontId="40" fillId="2" borderId="59" xfId="0" applyNumberFormat="1" applyFont="1" applyFill="1" applyBorder="1" applyAlignment="1" applyProtection="1">
      <alignment horizontal="right" vertical="center"/>
      <protection hidden="1"/>
    </xf>
    <xf numFmtId="187" fontId="40" fillId="2" borderId="60" xfId="0" applyNumberFormat="1" applyFont="1" applyFill="1" applyBorder="1" applyAlignment="1" applyProtection="1">
      <alignment horizontal="left" vertical="center"/>
      <protection hidden="1"/>
    </xf>
    <xf numFmtId="187" fontId="54" fillId="0" borderId="0" xfId="0" applyNumberFormat="1" applyFont="1" applyAlignment="1" applyProtection="1">
      <alignment vertical="center"/>
      <protection hidden="1"/>
    </xf>
    <xf numFmtId="187" fontId="27" fillId="0" borderId="0" xfId="0" applyNumberFormat="1" applyFont="1" applyAlignment="1" applyProtection="1">
      <alignment horizontal="right" vertical="center"/>
      <protection hidden="1"/>
    </xf>
    <xf numFmtId="187" fontId="27" fillId="0" borderId="0" xfId="0" applyNumberFormat="1" applyFont="1" applyAlignment="1" applyProtection="1">
      <alignment horizontal="left" vertical="center"/>
      <protection hidden="1"/>
    </xf>
    <xf numFmtId="187" fontId="15" fillId="0" borderId="0" xfId="0" applyNumberFormat="1" applyFont="1" applyAlignment="1" applyProtection="1">
      <alignment horizontal="right" vertical="center"/>
      <protection hidden="1"/>
    </xf>
    <xf numFmtId="1" fontId="19" fillId="0" borderId="0" xfId="0" applyNumberFormat="1" applyFont="1" applyAlignment="1" applyProtection="1">
      <alignment horizontal="right" vertical="center"/>
      <protection hidden="1"/>
    </xf>
    <xf numFmtId="1" fontId="19" fillId="0" borderId="0" xfId="0" applyNumberFormat="1" applyFont="1" applyAlignment="1" applyProtection="1">
      <alignment horizontal="left" vertical="center"/>
      <protection hidden="1"/>
    </xf>
    <xf numFmtId="0" fontId="19" fillId="0" borderId="61" xfId="0" applyFont="1" applyBorder="1" applyAlignment="1" applyProtection="1">
      <alignment horizontal="center" vertical="center" wrapText="1"/>
      <protection hidden="1"/>
    </xf>
    <xf numFmtId="0" fontId="19" fillId="0" borderId="47" xfId="0" applyFont="1" applyBorder="1" applyAlignment="1" applyProtection="1">
      <alignment horizontal="center" vertical="center" wrapText="1"/>
      <protection hidden="1"/>
    </xf>
    <xf numFmtId="2" fontId="19" fillId="0" borderId="54" xfId="0" applyNumberFormat="1" applyFont="1" applyBorder="1" applyAlignment="1" applyProtection="1">
      <alignment horizontal="center" vertical="center" wrapText="1"/>
      <protection hidden="1"/>
    </xf>
    <xf numFmtId="2" fontId="19" fillId="0" borderId="0" xfId="0" applyNumberFormat="1" applyFont="1" applyBorder="1" applyAlignment="1" applyProtection="1">
      <alignment horizontal="center" vertical="center" wrapText="1"/>
      <protection hidden="1"/>
    </xf>
    <xf numFmtId="0" fontId="19" fillId="0" borderId="0" xfId="0" applyFont="1" applyBorder="1" applyAlignment="1" applyProtection="1">
      <alignment horizontal="right" vertical="center" wrapText="1"/>
      <protection hidden="1"/>
    </xf>
    <xf numFmtId="187" fontId="19" fillId="0" borderId="0" xfId="0" applyNumberFormat="1" applyFont="1" applyBorder="1" applyAlignment="1" applyProtection="1">
      <alignment horizontal="left" vertical="center" wrapText="1"/>
      <protection hidden="1"/>
    </xf>
    <xf numFmtId="0" fontId="19" fillId="0" borderId="39" xfId="0" applyFont="1" applyBorder="1" applyAlignment="1" applyProtection="1">
      <alignment horizontal="center" vertical="center" wrapText="1"/>
      <protection hidden="1"/>
    </xf>
    <xf numFmtId="0" fontId="19" fillId="0" borderId="62" xfId="0" applyFont="1" applyBorder="1" applyAlignment="1" applyProtection="1">
      <alignment horizontal="center" vertical="center" wrapText="1"/>
      <protection hidden="1"/>
    </xf>
    <xf numFmtId="187" fontId="19" fillId="0" borderId="0" xfId="0" applyNumberFormat="1" applyFont="1" applyAlignment="1" applyProtection="1">
      <alignment horizontal="center" vertical="center"/>
      <protection hidden="1"/>
    </xf>
    <xf numFmtId="222" fontId="19" fillId="0" borderId="61" xfId="0" applyNumberFormat="1" applyFont="1" applyBorder="1" applyAlignment="1" applyProtection="1">
      <alignment horizontal="center" vertical="center" wrapText="1"/>
      <protection hidden="1"/>
    </xf>
    <xf numFmtId="187" fontId="19" fillId="0" borderId="54" xfId="0" applyNumberFormat="1" applyFont="1" applyBorder="1" applyAlignment="1" applyProtection="1">
      <alignment horizontal="center" vertical="center"/>
      <protection hidden="1"/>
    </xf>
    <xf numFmtId="187" fontId="19" fillId="0" borderId="61" xfId="0" applyNumberFormat="1" applyFont="1" applyBorder="1" applyAlignment="1" applyProtection="1">
      <alignment horizontal="center" vertical="center"/>
      <protection hidden="1"/>
    </xf>
    <xf numFmtId="187" fontId="19" fillId="0" borderId="47" xfId="0" applyNumberFormat="1" applyFont="1" applyBorder="1" applyAlignment="1" applyProtection="1">
      <alignment horizontal="center" vertical="center"/>
      <protection hidden="1"/>
    </xf>
    <xf numFmtId="223" fontId="19" fillId="0" borderId="61" xfId="0" applyNumberFormat="1" applyFont="1" applyBorder="1" applyAlignment="1" applyProtection="1">
      <alignment horizontal="center" vertical="center" wrapText="1"/>
      <protection hidden="1"/>
    </xf>
    <xf numFmtId="187" fontId="19" fillId="0" borderId="0" xfId="0" applyNumberFormat="1" applyFont="1" applyBorder="1" applyAlignment="1" applyProtection="1">
      <alignment horizontal="center" vertical="center"/>
      <protection hidden="1"/>
    </xf>
    <xf numFmtId="187" fontId="41" fillId="0" borderId="54" xfId="0" applyNumberFormat="1" applyFont="1" applyBorder="1" applyAlignment="1" applyProtection="1">
      <alignment horizontal="center" vertical="center"/>
      <protection hidden="1"/>
    </xf>
    <xf numFmtId="187" fontId="40" fillId="2" borderId="63" xfId="0" applyNumberFormat="1" applyFont="1" applyFill="1" applyBorder="1" applyAlignment="1" applyProtection="1">
      <alignment horizontal="right" vertical="center"/>
      <protection hidden="1"/>
    </xf>
    <xf numFmtId="187" fontId="40" fillId="2" borderId="64" xfId="0" applyNumberFormat="1" applyFont="1" applyFill="1" applyBorder="1" applyAlignment="1" applyProtection="1">
      <alignment horizontal="left" vertical="center"/>
      <protection hidden="1"/>
    </xf>
    <xf numFmtId="187" fontId="58" fillId="0" borderId="0" xfId="0" applyNumberFormat="1" applyFont="1" applyFill="1" applyAlignment="1" applyProtection="1">
      <alignment horizontal="right" vertical="center"/>
      <protection hidden="1"/>
    </xf>
    <xf numFmtId="187" fontId="40" fillId="0" borderId="0" xfId="0" applyNumberFormat="1" applyFont="1" applyFill="1" applyAlignment="1" applyProtection="1">
      <alignment horizontal="left" vertical="center"/>
      <protection hidden="1"/>
    </xf>
    <xf numFmtId="187" fontId="40" fillId="0" borderId="0" xfId="0" applyNumberFormat="1" applyFont="1" applyFill="1" applyBorder="1" applyAlignment="1" applyProtection="1">
      <alignment horizontal="right" vertical="center"/>
      <protection hidden="1"/>
    </xf>
    <xf numFmtId="187" fontId="19" fillId="0" borderId="0" xfId="0" applyNumberFormat="1" applyFont="1" applyFill="1" applyAlignment="1" applyProtection="1">
      <alignment vertical="center"/>
      <protection hidden="1"/>
    </xf>
    <xf numFmtId="187" fontId="40" fillId="0" borderId="0" xfId="0" applyNumberFormat="1" applyFont="1" applyFill="1" applyAlignment="1" applyProtection="1">
      <alignment horizontal="right" vertical="center"/>
      <protection hidden="1"/>
    </xf>
    <xf numFmtId="1" fontId="40" fillId="0" borderId="0" xfId="0" applyNumberFormat="1" applyFont="1" applyFill="1" applyAlignment="1" applyProtection="1">
      <alignment horizontal="left" vertical="center"/>
      <protection hidden="1"/>
    </xf>
    <xf numFmtId="187" fontId="40" fillId="0" borderId="0" xfId="0" applyNumberFormat="1" applyFont="1" applyFill="1" applyBorder="1" applyAlignment="1" applyProtection="1">
      <alignment horizontal="left" vertical="center"/>
      <protection hidden="1"/>
    </xf>
    <xf numFmtId="187" fontId="41" fillId="0" borderId="0" xfId="0" applyNumberFormat="1" applyFont="1" applyAlignment="1" applyProtection="1">
      <alignment vertical="center"/>
      <protection hidden="1"/>
    </xf>
    <xf numFmtId="187" fontId="15" fillId="0" borderId="39" xfId="0" applyNumberFormat="1" applyFont="1" applyBorder="1" applyAlignment="1" applyProtection="1">
      <alignment horizontal="center" vertical="center"/>
      <protection hidden="1"/>
    </xf>
    <xf numFmtId="1" fontId="19" fillId="0" borderId="54" xfId="0" applyNumberFormat="1" applyFont="1" applyBorder="1" applyAlignment="1" applyProtection="1">
      <alignment horizontal="center" vertical="center"/>
      <protection hidden="1"/>
    </xf>
    <xf numFmtId="1" fontId="19" fillId="0" borderId="61" xfId="0" applyNumberFormat="1" applyFont="1" applyBorder="1" applyAlignment="1" applyProtection="1">
      <alignment horizontal="center" vertical="center"/>
      <protection hidden="1"/>
    </xf>
    <xf numFmtId="187" fontId="19" fillId="0" borderId="54" xfId="0" applyNumberFormat="1" applyFont="1" applyBorder="1" applyAlignment="1" applyProtection="1" quotePrefix="1">
      <alignment horizontal="center" vertical="center"/>
      <protection hidden="1"/>
    </xf>
    <xf numFmtId="1" fontId="40" fillId="0" borderId="0" xfId="0" applyNumberFormat="1" applyFont="1" applyBorder="1" applyAlignment="1" applyProtection="1">
      <alignment horizontal="center" vertical="center"/>
      <protection hidden="1"/>
    </xf>
    <xf numFmtId="187" fontId="19" fillId="0" borderId="61" xfId="0" applyNumberFormat="1" applyFont="1" applyBorder="1" applyAlignment="1" applyProtection="1">
      <alignment vertical="center"/>
      <protection hidden="1"/>
    </xf>
    <xf numFmtId="187" fontId="19" fillId="0" borderId="65" xfId="0" applyNumberFormat="1" applyFont="1" applyBorder="1" applyAlignment="1" applyProtection="1">
      <alignment vertical="center"/>
      <protection hidden="1"/>
    </xf>
    <xf numFmtId="187" fontId="19" fillId="0" borderId="47" xfId="0" applyNumberFormat="1" applyFont="1" applyBorder="1" applyAlignment="1" applyProtection="1">
      <alignment vertical="center"/>
      <protection hidden="1"/>
    </xf>
    <xf numFmtId="187" fontId="41" fillId="0" borderId="0" xfId="0" applyNumberFormat="1" applyFont="1" applyAlignment="1" applyProtection="1">
      <alignment horizontal="center" vertical="center"/>
      <protection hidden="1"/>
    </xf>
    <xf numFmtId="187" fontId="19" fillId="0" borderId="0" xfId="0" applyNumberFormat="1" applyFont="1" applyAlignment="1" applyProtection="1">
      <alignment horizontal="center"/>
      <protection hidden="1"/>
    </xf>
    <xf numFmtId="187" fontId="19" fillId="0" borderId="54" xfId="0" applyNumberFormat="1" applyFont="1" applyBorder="1" applyAlignment="1" applyProtection="1">
      <alignment vertical="center"/>
      <protection hidden="1"/>
    </xf>
    <xf numFmtId="187" fontId="19" fillId="0" borderId="6" xfId="0" applyNumberFormat="1" applyFont="1" applyBorder="1" applyAlignment="1" applyProtection="1">
      <alignment vertical="center"/>
      <protection hidden="1"/>
    </xf>
    <xf numFmtId="0" fontId="19" fillId="0" borderId="66" xfId="0" applyFont="1" applyBorder="1" applyAlignment="1" applyProtection="1">
      <alignment horizontal="center" vertical="center" wrapText="1"/>
      <protection hidden="1"/>
    </xf>
    <xf numFmtId="0" fontId="19" fillId="0" borderId="67"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187" fontId="19" fillId="0" borderId="0" xfId="0" applyNumberFormat="1" applyFont="1" applyAlignment="1" applyProtection="1">
      <alignment horizontal="center" vertical="center" wrapText="1"/>
      <protection hidden="1"/>
    </xf>
    <xf numFmtId="187" fontId="19" fillId="0" borderId="0" xfId="0" applyNumberFormat="1" applyFont="1" applyBorder="1" applyAlignment="1" applyProtection="1">
      <alignment horizontal="center" vertical="center" wrapText="1"/>
      <protection hidden="1"/>
    </xf>
    <xf numFmtId="0" fontId="19" fillId="0" borderId="69" xfId="0" applyFont="1" applyBorder="1" applyAlignment="1" applyProtection="1">
      <alignment horizontal="center" vertical="center" wrapText="1"/>
      <protection hidden="1"/>
    </xf>
    <xf numFmtId="0" fontId="19" fillId="0" borderId="70" xfId="0" applyFont="1" applyBorder="1" applyAlignment="1" applyProtection="1">
      <alignment horizontal="center" vertical="center" wrapText="1"/>
      <protection hidden="1"/>
    </xf>
    <xf numFmtId="0" fontId="19" fillId="0" borderId="71" xfId="0" applyFont="1" applyBorder="1" applyAlignment="1" applyProtection="1">
      <alignment horizontal="center" vertical="center" wrapText="1"/>
      <protection hidden="1"/>
    </xf>
    <xf numFmtId="0" fontId="19" fillId="0" borderId="0" xfId="0" applyFont="1" applyBorder="1" applyAlignment="1" applyProtection="1">
      <alignment/>
      <protection hidden="1"/>
    </xf>
    <xf numFmtId="0" fontId="19" fillId="0" borderId="0" xfId="0" applyFont="1" applyAlignment="1" applyProtection="1">
      <alignment/>
      <protection hidden="1"/>
    </xf>
    <xf numFmtId="187" fontId="40" fillId="0" borderId="0" xfId="0" applyNumberFormat="1" applyFont="1" applyAlignment="1" applyProtection="1">
      <alignment vertical="center"/>
      <protection hidden="1"/>
    </xf>
    <xf numFmtId="187" fontId="40" fillId="0" borderId="0" xfId="0" applyNumberFormat="1" applyFont="1" applyBorder="1" applyAlignment="1" applyProtection="1">
      <alignment horizontal="right" vertical="center"/>
      <protection hidden="1"/>
    </xf>
    <xf numFmtId="189" fontId="19" fillId="0" borderId="0" xfId="0" applyNumberFormat="1" applyFont="1" applyAlignment="1" applyProtection="1">
      <alignment horizontal="left" vertical="center"/>
      <protection hidden="1"/>
    </xf>
    <xf numFmtId="189" fontId="19" fillId="0" borderId="0" xfId="0" applyNumberFormat="1" applyFont="1" applyBorder="1" applyAlignment="1" applyProtection="1">
      <alignment horizontal="left" vertical="center"/>
      <protection hidden="1"/>
    </xf>
    <xf numFmtId="187" fontId="40" fillId="0" borderId="0" xfId="0" applyNumberFormat="1" applyFont="1" applyBorder="1" applyAlignment="1" applyProtection="1">
      <alignment vertical="center"/>
      <protection hidden="1"/>
    </xf>
    <xf numFmtId="187" fontId="15" fillId="0" borderId="0" xfId="0" applyNumberFormat="1" applyFont="1" applyBorder="1" applyAlignment="1" applyProtection="1">
      <alignment horizontal="right" vertical="center"/>
      <protection hidden="1"/>
    </xf>
    <xf numFmtId="0" fontId="40" fillId="4" borderId="0" xfId="0" applyFont="1" applyFill="1" applyAlignment="1" applyProtection="1">
      <alignment horizontal="left" vertical="center"/>
      <protection hidden="1"/>
    </xf>
    <xf numFmtId="0" fontId="40" fillId="0" borderId="0" xfId="0" applyFont="1" applyAlignment="1" applyProtection="1">
      <alignment horizontal="left"/>
      <protection hidden="1"/>
    </xf>
    <xf numFmtId="0" fontId="40" fillId="4" borderId="59" xfId="0" applyFont="1" applyFill="1" applyBorder="1" applyAlignment="1" applyProtection="1">
      <alignment horizontal="right"/>
      <protection hidden="1"/>
    </xf>
    <xf numFmtId="0" fontId="40" fillId="4" borderId="60" xfId="0" applyFont="1" applyFill="1" applyBorder="1" applyAlignment="1" applyProtection="1">
      <alignment horizontal="left"/>
      <protection hidden="1"/>
    </xf>
    <xf numFmtId="0" fontId="40" fillId="0" borderId="0" xfId="0" applyFont="1" applyBorder="1" applyAlignment="1" applyProtection="1">
      <alignment/>
      <protection hidden="1"/>
    </xf>
    <xf numFmtId="0" fontId="40" fillId="0" borderId="0" xfId="0" applyFont="1" applyAlignment="1" applyProtection="1">
      <alignment horizontal="right"/>
      <protection hidden="1"/>
    </xf>
    <xf numFmtId="0" fontId="40" fillId="0" borderId="0" xfId="0" applyFont="1" applyBorder="1" applyAlignment="1" applyProtection="1">
      <alignment horizontal="right"/>
      <protection hidden="1"/>
    </xf>
    <xf numFmtId="0" fontId="40" fillId="2" borderId="59" xfId="0" applyFont="1" applyFill="1" applyBorder="1" applyAlignment="1" applyProtection="1">
      <alignment horizontal="right"/>
      <protection hidden="1"/>
    </xf>
    <xf numFmtId="0" fontId="40" fillId="2" borderId="60" xfId="0" applyFont="1" applyFill="1" applyBorder="1" applyAlignment="1" applyProtection="1">
      <alignment horizontal="left"/>
      <protection hidden="1"/>
    </xf>
    <xf numFmtId="0" fontId="58" fillId="2" borderId="59" xfId="0" applyFont="1" applyFill="1" applyBorder="1" applyAlignment="1" applyProtection="1">
      <alignment horizontal="right"/>
      <protection hidden="1"/>
    </xf>
    <xf numFmtId="0" fontId="19" fillId="0" borderId="0" xfId="0" applyFont="1" applyAlignment="1" applyProtection="1">
      <alignment horizontal="right"/>
      <protection hidden="1"/>
    </xf>
    <xf numFmtId="0" fontId="19" fillId="0" borderId="0" xfId="0" applyFont="1" applyBorder="1" applyAlignment="1" applyProtection="1">
      <alignment horizontal="right"/>
      <protection hidden="1"/>
    </xf>
    <xf numFmtId="0" fontId="40" fillId="2" borderId="60" xfId="0" applyFont="1" applyFill="1" applyBorder="1" applyAlignment="1" applyProtection="1">
      <alignment/>
      <protection hidden="1"/>
    </xf>
    <xf numFmtId="188" fontId="19" fillId="0" borderId="0" xfId="0" applyNumberFormat="1" applyFont="1" applyBorder="1" applyAlignment="1" applyProtection="1" quotePrefix="1">
      <alignment horizontal="left" vertical="center"/>
      <protection hidden="1"/>
    </xf>
    <xf numFmtId="0" fontId="40" fillId="4" borderId="0" xfId="0" applyFont="1" applyFill="1" applyBorder="1" applyAlignment="1" applyProtection="1">
      <alignment vertical="center"/>
      <protection hidden="1"/>
    </xf>
    <xf numFmtId="0" fontId="40" fillId="4" borderId="0" xfId="0" applyFont="1" applyFill="1" applyAlignment="1" applyProtection="1">
      <alignment vertical="center"/>
      <protection hidden="1"/>
    </xf>
    <xf numFmtId="0" fontId="19" fillId="0" borderId="0" xfId="0" applyFont="1" applyAlignment="1" applyProtection="1">
      <alignment horizontal="center"/>
      <protection hidden="1"/>
    </xf>
    <xf numFmtId="224" fontId="40" fillId="4" borderId="60" xfId="0" applyNumberFormat="1" applyFont="1" applyFill="1" applyBorder="1" applyAlignment="1" applyProtection="1">
      <alignment horizontal="right"/>
      <protection hidden="1"/>
    </xf>
    <xf numFmtId="0" fontId="40" fillId="2" borderId="0" xfId="0" applyFont="1" applyFill="1" applyBorder="1" applyAlignment="1" applyProtection="1">
      <alignment horizontal="right" vertical="center"/>
      <protection hidden="1"/>
    </xf>
    <xf numFmtId="0" fontId="40" fillId="2" borderId="59" xfId="0" applyFont="1" applyFill="1" applyBorder="1" applyAlignment="1" applyProtection="1">
      <alignment horizontal="right" vertical="center"/>
      <protection hidden="1"/>
    </xf>
    <xf numFmtId="0" fontId="19" fillId="7" borderId="0" xfId="0" applyFont="1" applyFill="1" applyBorder="1" applyAlignment="1" applyProtection="1">
      <alignment vertical="center"/>
      <protection hidden="1"/>
    </xf>
    <xf numFmtId="0" fontId="19" fillId="7" borderId="0" xfId="0" applyFont="1" applyFill="1" applyAlignment="1" applyProtection="1">
      <alignment vertical="center"/>
      <protection hidden="1"/>
    </xf>
    <xf numFmtId="0" fontId="51" fillId="0" borderId="0" xfId="0" applyFont="1" applyAlignment="1" applyProtection="1">
      <alignment vertical="center"/>
      <protection hidden="1"/>
    </xf>
    <xf numFmtId="187" fontId="19" fillId="0" borderId="72" xfId="0" applyNumberFormat="1" applyFont="1" applyBorder="1" applyAlignment="1" applyProtection="1">
      <alignment horizontal="center" vertical="center"/>
      <protection hidden="1"/>
    </xf>
    <xf numFmtId="0" fontId="19" fillId="0" borderId="0" xfId="0" applyFont="1" applyBorder="1" applyAlignment="1" applyProtection="1">
      <alignment horizontal="right" vertical="center"/>
      <protection hidden="1"/>
    </xf>
    <xf numFmtId="187" fontId="40" fillId="0" borderId="0" xfId="0" applyNumberFormat="1" applyFont="1" applyAlignment="1" applyProtection="1">
      <alignment horizontal="center" vertical="center"/>
      <protection hidden="1"/>
    </xf>
    <xf numFmtId="0" fontId="19" fillId="0" borderId="54" xfId="0" applyFont="1" applyBorder="1" applyAlignment="1" applyProtection="1">
      <alignment vertical="center" wrapText="1"/>
      <protection hidden="1"/>
    </xf>
    <xf numFmtId="187" fontId="19" fillId="0" borderId="54" xfId="0" applyNumberFormat="1" applyFont="1" applyBorder="1" applyAlignment="1" applyProtection="1">
      <alignment horizontal="center" vertical="center" wrapText="1"/>
      <protection hidden="1"/>
    </xf>
    <xf numFmtId="0" fontId="51" fillId="0" borderId="0" xfId="0" applyFont="1" applyAlignment="1" applyProtection="1">
      <alignment/>
      <protection hidden="1"/>
    </xf>
    <xf numFmtId="0" fontId="19" fillId="0" borderId="72" xfId="0" applyFont="1" applyBorder="1" applyAlignment="1" applyProtection="1">
      <alignment vertical="center" wrapText="1"/>
      <protection hidden="1"/>
    </xf>
    <xf numFmtId="187" fontId="19" fillId="0" borderId="72" xfId="0" applyNumberFormat="1" applyFont="1" applyBorder="1" applyAlignment="1" applyProtection="1">
      <alignment horizontal="center" vertical="center" wrapText="1"/>
      <protection hidden="1"/>
    </xf>
    <xf numFmtId="197" fontId="19" fillId="0" borderId="0" xfId="0" applyNumberFormat="1" applyFont="1" applyBorder="1" applyAlignment="1" applyProtection="1">
      <alignment horizontal="left" vertical="center"/>
      <protection hidden="1"/>
    </xf>
    <xf numFmtId="0" fontId="19" fillId="0" borderId="73" xfId="0" applyFont="1" applyBorder="1" applyAlignment="1" applyProtection="1">
      <alignment horizontal="center" vertical="center" wrapText="1"/>
      <protection hidden="1"/>
    </xf>
    <xf numFmtId="0" fontId="19" fillId="0" borderId="74" xfId="0" applyFont="1" applyBorder="1" applyAlignment="1" applyProtection="1">
      <alignment horizontal="center" vertical="center" wrapText="1"/>
      <protection hidden="1"/>
    </xf>
    <xf numFmtId="0" fontId="40" fillId="4" borderId="0" xfId="0" applyFont="1" applyFill="1" applyBorder="1" applyAlignment="1" applyProtection="1">
      <alignment horizontal="left" vertical="center"/>
      <protection hidden="1"/>
    </xf>
    <xf numFmtId="0" fontId="15" fillId="0" borderId="0" xfId="0" applyFont="1" applyAlignment="1" applyProtection="1">
      <alignment horizontal="left" vertical="center"/>
      <protection hidden="1"/>
    </xf>
    <xf numFmtId="0" fontId="58" fillId="4" borderId="59" xfId="0" applyFont="1" applyFill="1" applyBorder="1" applyAlignment="1" applyProtection="1">
      <alignment horizontal="right" vertical="center"/>
      <protection hidden="1"/>
    </xf>
    <xf numFmtId="224" fontId="40" fillId="4" borderId="60" xfId="0" applyNumberFormat="1" applyFont="1" applyFill="1" applyBorder="1" applyAlignment="1" applyProtection="1">
      <alignment horizontal="left" vertical="center"/>
      <protection hidden="1"/>
    </xf>
    <xf numFmtId="187" fontId="40" fillId="2" borderId="0" xfId="0" applyNumberFormat="1" applyFont="1" applyFill="1" applyBorder="1" applyAlignment="1" applyProtection="1">
      <alignment horizontal="right" vertical="center"/>
      <protection hidden="1"/>
    </xf>
    <xf numFmtId="0" fontId="15" fillId="0" borderId="0" xfId="0" applyFont="1" applyFill="1" applyBorder="1" applyAlignment="1" applyProtection="1">
      <alignment horizontal="left" vertical="center"/>
      <protection hidden="1"/>
    </xf>
    <xf numFmtId="1" fontId="19" fillId="0" borderId="0" xfId="0" applyNumberFormat="1" applyFont="1" applyAlignment="1" applyProtection="1">
      <alignment horizontal="left"/>
      <protection hidden="1"/>
    </xf>
    <xf numFmtId="187" fontId="19" fillId="0" borderId="0" xfId="0" applyNumberFormat="1" applyFont="1" applyAlignment="1" applyProtection="1">
      <alignment horizontal="left"/>
      <protection hidden="1"/>
    </xf>
    <xf numFmtId="188" fontId="19" fillId="0" borderId="0" xfId="0" applyNumberFormat="1" applyFont="1" applyAlignment="1" applyProtection="1">
      <alignment horizontal="left"/>
      <protection hidden="1"/>
    </xf>
    <xf numFmtId="0" fontId="15" fillId="0" borderId="0" xfId="0" applyFont="1" applyAlignment="1" applyProtection="1">
      <alignment horizontal="right" vertical="center"/>
      <protection hidden="1"/>
    </xf>
    <xf numFmtId="224" fontId="40" fillId="0" borderId="0" xfId="0" applyNumberFormat="1" applyFont="1" applyAlignment="1" applyProtection="1">
      <alignment horizontal="center" vertical="center"/>
      <protection hidden="1"/>
    </xf>
    <xf numFmtId="0" fontId="40" fillId="4" borderId="59" xfId="0" applyFont="1" applyFill="1" applyBorder="1" applyAlignment="1" applyProtection="1">
      <alignment horizontal="right" vertical="center"/>
      <protection hidden="1"/>
    </xf>
    <xf numFmtId="224" fontId="40" fillId="4" borderId="60" xfId="0" applyNumberFormat="1" applyFont="1" applyFill="1" applyBorder="1" applyAlignment="1" applyProtection="1">
      <alignment vertical="center"/>
      <protection hidden="1"/>
    </xf>
    <xf numFmtId="0" fontId="19" fillId="7" borderId="75" xfId="0" applyFont="1" applyFill="1" applyBorder="1" applyAlignment="1" applyProtection="1">
      <alignment vertical="center"/>
      <protection hidden="1"/>
    </xf>
    <xf numFmtId="0" fontId="19" fillId="7" borderId="6" xfId="0" applyFont="1" applyFill="1" applyBorder="1" applyAlignment="1" applyProtection="1">
      <alignment vertical="center"/>
      <protection hidden="1"/>
    </xf>
    <xf numFmtId="197" fontId="19" fillId="0" borderId="0" xfId="0" applyNumberFormat="1" applyFont="1" applyBorder="1" applyAlignment="1" applyProtection="1">
      <alignment horizontal="center" vertical="center"/>
      <protection hidden="1"/>
    </xf>
    <xf numFmtId="0" fontId="9" fillId="5" borderId="0" xfId="0" applyFont="1" applyFill="1" applyBorder="1" applyAlignment="1" applyProtection="1">
      <alignment vertical="center"/>
      <protection locked="0"/>
    </xf>
    <xf numFmtId="0" fontId="11" fillId="0" borderId="8" xfId="0" applyFont="1" applyBorder="1" applyAlignment="1" applyProtection="1">
      <alignment horizontal="right" vertical="center"/>
      <protection hidden="1"/>
    </xf>
    <xf numFmtId="0" fontId="7" fillId="0" borderId="0" xfId="0" applyFont="1" applyAlignment="1" applyProtection="1">
      <alignment/>
      <protection hidden="1"/>
    </xf>
    <xf numFmtId="0" fontId="0" fillId="0" borderId="12" xfId="0" applyFont="1" applyBorder="1" applyAlignment="1" applyProtection="1">
      <alignment horizontal="center" vertical="center"/>
      <protection hidden="1"/>
    </xf>
    <xf numFmtId="0" fontId="0" fillId="0" borderId="76" xfId="0" applyFont="1" applyBorder="1" applyAlignment="1" applyProtection="1">
      <alignment horizontal="center" vertical="center"/>
      <protection hidden="1"/>
    </xf>
    <xf numFmtId="0" fontId="40" fillId="0" borderId="0" xfId="0" applyFont="1" applyAlignment="1" applyProtection="1">
      <alignment vertical="center"/>
      <protection hidden="1"/>
    </xf>
    <xf numFmtId="0" fontId="59" fillId="0" borderId="0" xfId="0" applyFont="1" applyAlignment="1" applyProtection="1">
      <alignment vertical="center"/>
      <protection hidden="1"/>
    </xf>
    <xf numFmtId="0" fontId="0" fillId="0" borderId="0" xfId="0" applyFont="1" applyBorder="1" applyAlignment="1" applyProtection="1" quotePrefix="1">
      <alignment horizontal="right" vertical="center"/>
      <protection hidden="1"/>
    </xf>
    <xf numFmtId="0" fontId="0" fillId="5" borderId="0" xfId="0" applyFont="1" applyFill="1" applyAlignment="1" applyProtection="1">
      <alignment horizontal="left" vertical="center"/>
      <protection locked="0"/>
    </xf>
    <xf numFmtId="2" fontId="9" fillId="5" borderId="11" xfId="0" applyNumberFormat="1" applyFont="1" applyFill="1" applyBorder="1" applyAlignment="1" applyProtection="1">
      <alignment horizontal="centerContinuous" vertical="center"/>
      <protection locked="0"/>
    </xf>
    <xf numFmtId="0" fontId="0" fillId="5" borderId="0" xfId="0" applyFont="1" applyFill="1" applyAlignment="1" applyProtection="1">
      <alignment vertical="center"/>
      <protection locked="0"/>
    </xf>
    <xf numFmtId="2" fontId="9" fillId="5" borderId="4" xfId="0" applyNumberFormat="1" applyFont="1" applyFill="1" applyBorder="1" applyAlignment="1" applyProtection="1">
      <alignment horizontal="centerContinuous" vertical="center"/>
      <protection locked="0"/>
    </xf>
    <xf numFmtId="0" fontId="6" fillId="0" borderId="1" xfId="0" applyFont="1" applyBorder="1" applyAlignment="1" applyProtection="1">
      <alignment vertical="center"/>
      <protection hidden="1"/>
    </xf>
    <xf numFmtId="0" fontId="0" fillId="0" borderId="43"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6" xfId="0" applyFont="1" applyBorder="1" applyAlignment="1" applyProtection="1" quotePrefix="1">
      <alignment vertical="center"/>
      <protection hidden="1"/>
    </xf>
    <xf numFmtId="0" fontId="0" fillId="0" borderId="77" xfId="0" applyFont="1" applyBorder="1" applyAlignment="1" applyProtection="1">
      <alignment horizontal="centerContinuous" vertical="center"/>
      <protection hidden="1"/>
    </xf>
    <xf numFmtId="0" fontId="0" fillId="0" borderId="45" xfId="0" applyFont="1" applyBorder="1" applyAlignment="1" applyProtection="1">
      <alignment horizontal="centerContinuous" vertical="center"/>
      <protection hidden="1"/>
    </xf>
    <xf numFmtId="0" fontId="0" fillId="0" borderId="30" xfId="0" applyFont="1" applyBorder="1" applyAlignment="1" applyProtection="1" quotePrefix="1">
      <alignment horizontal="left" vertical="center"/>
      <protection hidden="1"/>
    </xf>
    <xf numFmtId="0" fontId="0" fillId="0" borderId="16" xfId="0" applyFont="1" applyBorder="1" applyAlignment="1" applyProtection="1">
      <alignment vertical="center"/>
      <protection hidden="1"/>
    </xf>
    <xf numFmtId="0" fontId="0" fillId="0" borderId="6" xfId="0" applyFont="1" applyBorder="1" applyAlignment="1" applyProtection="1">
      <alignment vertical="center"/>
      <protection hidden="1"/>
    </xf>
    <xf numFmtId="0" fontId="0" fillId="0" borderId="14" xfId="0" applyFont="1" applyBorder="1" applyAlignment="1" applyProtection="1">
      <alignment horizontal="centerContinuous" vertical="center"/>
      <protection hidden="1"/>
    </xf>
    <xf numFmtId="0" fontId="0" fillId="0" borderId="12" xfId="0" applyFont="1" applyBorder="1" applyAlignment="1" applyProtection="1">
      <alignment horizontal="centerContinuous" vertical="center"/>
      <protection hidden="1"/>
    </xf>
    <xf numFmtId="0" fontId="6" fillId="0" borderId="6" xfId="0" applyFont="1" applyBorder="1" applyAlignment="1" applyProtection="1">
      <alignment vertical="center"/>
      <protection hidden="1"/>
    </xf>
    <xf numFmtId="0" fontId="0" fillId="0" borderId="6" xfId="0" applyFont="1" applyBorder="1" applyAlignment="1" applyProtection="1">
      <alignment vertical="top"/>
      <protection hidden="1"/>
    </xf>
    <xf numFmtId="0" fontId="0" fillId="0" borderId="78" xfId="0" applyFont="1" applyBorder="1" applyAlignment="1" applyProtection="1">
      <alignment vertical="center"/>
      <protection hidden="1"/>
    </xf>
    <xf numFmtId="0" fontId="0" fillId="0" borderId="79" xfId="0" applyFont="1" applyBorder="1" applyAlignment="1" applyProtection="1">
      <alignment vertical="center"/>
      <protection hidden="1"/>
    </xf>
    <xf numFmtId="0" fontId="0" fillId="0" borderId="77" xfId="0" applyFont="1" applyBorder="1" applyAlignment="1" applyProtection="1">
      <alignment vertical="center"/>
      <protection hidden="1"/>
    </xf>
    <xf numFmtId="0" fontId="0" fillId="0" borderId="30" xfId="0" applyFont="1" applyBorder="1" applyAlignment="1" applyProtection="1">
      <alignment vertical="center"/>
      <protection hidden="1"/>
    </xf>
    <xf numFmtId="0" fontId="6" fillId="0" borderId="77" xfId="0" applyFont="1" applyBorder="1" applyAlignment="1" applyProtection="1">
      <alignment vertical="center"/>
      <protection hidden="1"/>
    </xf>
    <xf numFmtId="0" fontId="6" fillId="0" borderId="14" xfId="0" applyFont="1" applyBorder="1" applyAlignment="1" applyProtection="1">
      <alignment vertical="center"/>
      <protection hidden="1"/>
    </xf>
    <xf numFmtId="0" fontId="0" fillId="0" borderId="80" xfId="0" applyFont="1" applyBorder="1" applyAlignment="1" applyProtection="1">
      <alignment vertical="center"/>
      <protection hidden="1"/>
    </xf>
    <xf numFmtId="0" fontId="0" fillId="0" borderId="81" xfId="0" applyFont="1" applyBorder="1" applyAlignment="1" applyProtection="1">
      <alignment vertical="center"/>
      <protection hidden="1"/>
    </xf>
    <xf numFmtId="0" fontId="0" fillId="0" borderId="34"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41" xfId="0" applyFont="1" applyBorder="1" applyAlignment="1" applyProtection="1">
      <alignment vertical="center"/>
      <protection hidden="1"/>
    </xf>
    <xf numFmtId="0" fontId="0" fillId="0" borderId="82" xfId="0" applyFont="1" applyBorder="1" applyAlignment="1" applyProtection="1">
      <alignment vertical="center"/>
      <protection hidden="1"/>
    </xf>
    <xf numFmtId="0" fontId="0" fillId="0" borderId="0" xfId="0" applyFont="1" applyAlignment="1" applyProtection="1">
      <alignment vertical="center"/>
      <protection hidden="1"/>
    </xf>
    <xf numFmtId="0" fontId="59" fillId="0" borderId="0" xfId="0" applyFont="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protection hidden="1"/>
    </xf>
    <xf numFmtId="0" fontId="6" fillId="2" borderId="0" xfId="0" applyFont="1" applyFill="1" applyAlignment="1" applyProtection="1" quotePrefix="1">
      <alignment horizontal="left" vertical="center"/>
      <protection hidden="1"/>
    </xf>
    <xf numFmtId="0" fontId="6" fillId="2" borderId="0" xfId="0" applyFont="1" applyFill="1" applyAlignment="1" applyProtection="1">
      <alignment horizontal="left" vertical="center"/>
      <protection hidden="1"/>
    </xf>
    <xf numFmtId="0" fontId="6" fillId="2" borderId="0" xfId="0" applyFont="1" applyFill="1" applyAlignment="1" applyProtection="1">
      <alignment vertical="center"/>
      <protection hidden="1"/>
    </xf>
    <xf numFmtId="0" fontId="0" fillId="0" borderId="0" xfId="0" applyFont="1" applyAlignment="1" applyProtection="1" quotePrefix="1">
      <alignment horizontal="right" vertical="center"/>
      <protection hidden="1"/>
    </xf>
    <xf numFmtId="0" fontId="0" fillId="0" borderId="61" xfId="0" applyFont="1" applyBorder="1" applyAlignment="1" applyProtection="1">
      <alignment horizontal="right" vertical="center"/>
      <protection hidden="1"/>
    </xf>
    <xf numFmtId="2" fontId="9" fillId="5" borderId="54" xfId="0" applyNumberFormat="1" applyFont="1" applyFill="1" applyBorder="1" applyAlignment="1" applyProtection="1">
      <alignment horizontal="centerContinuous" vertical="center"/>
      <protection locked="0"/>
    </xf>
    <xf numFmtId="0" fontId="0" fillId="0" borderId="0" xfId="0" applyFont="1" applyBorder="1" applyAlignment="1" applyProtection="1">
      <alignment/>
      <protection hidden="1"/>
    </xf>
    <xf numFmtId="0" fontId="0" fillId="0" borderId="0" xfId="0" applyFont="1" applyBorder="1" applyAlignment="1" applyProtection="1" quotePrefix="1">
      <alignment horizontal="right" vertical="center"/>
      <protection hidden="1"/>
    </xf>
    <xf numFmtId="0" fontId="25" fillId="0" borderId="0" xfId="0" applyFont="1" applyAlignment="1" applyProtection="1">
      <alignment vertical="center"/>
      <protection hidden="1"/>
    </xf>
    <xf numFmtId="193" fontId="0" fillId="0" borderId="0" xfId="0" applyNumberFormat="1" applyFont="1" applyAlignment="1" applyProtection="1">
      <alignment horizontal="right" vertical="center"/>
      <protection hidden="1"/>
    </xf>
    <xf numFmtId="0" fontId="0" fillId="4" borderId="1" xfId="0" applyFont="1" applyFill="1" applyBorder="1" applyAlignment="1" applyProtection="1">
      <alignment vertical="center"/>
      <protection hidden="1"/>
    </xf>
    <xf numFmtId="0" fontId="0" fillId="4" borderId="2" xfId="0" applyFont="1" applyFill="1" applyBorder="1" applyAlignment="1" applyProtection="1">
      <alignment vertical="center"/>
      <protection hidden="1"/>
    </xf>
    <xf numFmtId="0" fontId="0" fillId="0" borderId="6" xfId="0" applyFont="1" applyBorder="1" applyAlignment="1" applyProtection="1">
      <alignment vertical="center"/>
      <protection hidden="1"/>
    </xf>
    <xf numFmtId="0" fontId="0" fillId="0" borderId="1"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4" borderId="6" xfId="0" applyFont="1" applyFill="1" applyBorder="1" applyAlignment="1" applyProtection="1">
      <alignment vertical="center"/>
      <protection hidden="1"/>
    </xf>
    <xf numFmtId="0" fontId="0" fillId="4" borderId="0" xfId="0" applyFont="1" applyFill="1" applyAlignment="1" applyProtection="1">
      <alignment vertical="center"/>
      <protection hidden="1"/>
    </xf>
    <xf numFmtId="0" fontId="0" fillId="0" borderId="0" xfId="0" applyFont="1" applyBorder="1" applyAlignment="1" applyProtection="1">
      <alignment vertical="center"/>
      <protection hidden="1"/>
    </xf>
    <xf numFmtId="0" fontId="0" fillId="4" borderId="0" xfId="0" applyFont="1" applyFill="1" applyBorder="1" applyAlignment="1" applyProtection="1">
      <alignment vertical="center"/>
      <protection hidden="1"/>
    </xf>
    <xf numFmtId="0" fontId="7" fillId="0" borderId="1" xfId="0" applyFont="1" applyBorder="1" applyAlignment="1" applyProtection="1">
      <alignment vertical="center"/>
      <protection hidden="1"/>
    </xf>
    <xf numFmtId="0" fontId="0" fillId="4" borderId="39" xfId="0" applyFont="1" applyFill="1" applyBorder="1" applyAlignment="1" applyProtection="1">
      <alignment vertical="center"/>
      <protection hidden="1"/>
    </xf>
    <xf numFmtId="193" fontId="0" fillId="0" borderId="0" xfId="0" applyNumberFormat="1" applyFont="1" applyAlignment="1" applyProtection="1">
      <alignment horizontal="center" vertical="center"/>
      <protection hidden="1"/>
    </xf>
    <xf numFmtId="0" fontId="0" fillId="0" borderId="6" xfId="0" applyFont="1" applyBorder="1" applyAlignment="1" applyProtection="1">
      <alignment horizontal="centerContinuous" vertical="center"/>
      <protection hidden="1"/>
    </xf>
    <xf numFmtId="0" fontId="0" fillId="4" borderId="6" xfId="0" applyFont="1" applyFill="1" applyBorder="1" applyAlignment="1" applyProtection="1">
      <alignment horizontal="centerContinuous" vertical="center"/>
      <protection hidden="1"/>
    </xf>
    <xf numFmtId="0" fontId="0" fillId="4" borderId="0" xfId="0" applyFont="1" applyFill="1" applyBorder="1" applyAlignment="1" applyProtection="1">
      <alignment horizontal="centerContinuous" vertical="center"/>
      <protection hidden="1"/>
    </xf>
    <xf numFmtId="0" fontId="0" fillId="4" borderId="58" xfId="0" applyFont="1" applyFill="1" applyBorder="1" applyAlignment="1" applyProtection="1">
      <alignment horizontal="centerContinuous" vertical="center"/>
      <protection hidden="1"/>
    </xf>
    <xf numFmtId="0" fontId="0" fillId="0" borderId="34" xfId="0" applyFont="1" applyBorder="1" applyAlignment="1" applyProtection="1">
      <alignment horizontal="centerContinuous" vertical="center"/>
      <protection hidden="1"/>
    </xf>
    <xf numFmtId="0" fontId="0" fillId="4" borderId="34" xfId="0" applyFont="1" applyFill="1" applyBorder="1" applyAlignment="1" applyProtection="1">
      <alignment horizontal="centerContinuous" vertical="center"/>
      <protection hidden="1"/>
    </xf>
    <xf numFmtId="0" fontId="0" fillId="4" borderId="15" xfId="0" applyFont="1" applyFill="1" applyBorder="1" applyAlignment="1" applyProtection="1">
      <alignment horizontal="centerContinuous" vertical="center"/>
      <protection hidden="1"/>
    </xf>
    <xf numFmtId="0" fontId="0" fillId="4" borderId="62" xfId="0" applyFont="1" applyFill="1" applyBorder="1" applyAlignment="1" applyProtection="1">
      <alignment horizontal="centerContinuous"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vertical="center" wrapText="1"/>
      <protection hidden="1"/>
    </xf>
    <xf numFmtId="0" fontId="9" fillId="0" borderId="0" xfId="0" applyFont="1" applyAlignment="1" applyProtection="1" quotePrefix="1">
      <alignment vertical="center" wrapText="1"/>
      <protection hidden="1"/>
    </xf>
    <xf numFmtId="0" fontId="60" fillId="0" borderId="0" xfId="0" applyFont="1" applyBorder="1" applyAlignment="1" applyProtection="1">
      <alignment horizontal="left" vertical="center" wrapText="1"/>
      <protection hidden="1"/>
    </xf>
    <xf numFmtId="0" fontId="51" fillId="0" borderId="0" xfId="0" applyFont="1" applyBorder="1" applyAlignment="1" applyProtection="1">
      <alignment horizontal="left" vertical="center" wrapText="1"/>
      <protection hidden="1"/>
    </xf>
    <xf numFmtId="0" fontId="0" fillId="0" borderId="65" xfId="0" applyFont="1" applyBorder="1" applyAlignment="1" applyProtection="1">
      <alignment horizontal="right" vertical="center"/>
      <protection hidden="1"/>
    </xf>
    <xf numFmtId="225" fontId="0" fillId="4" borderId="17" xfId="0" applyNumberFormat="1" applyFont="1" applyFill="1" applyBorder="1" applyAlignment="1" applyProtection="1">
      <alignment horizontal="centerContinuous" vertical="center"/>
      <protection hidden="1"/>
    </xf>
    <xf numFmtId="225" fontId="0" fillId="0" borderId="14" xfId="0" applyNumberFormat="1" applyFont="1" applyFill="1" applyBorder="1" applyAlignment="1" applyProtection="1">
      <alignment horizontal="centerContinuous" vertical="center"/>
      <protection hidden="1"/>
    </xf>
    <xf numFmtId="225" fontId="0" fillId="0" borderId="12" xfId="0" applyNumberFormat="1" applyFont="1" applyFill="1" applyBorder="1" applyAlignment="1" applyProtection="1">
      <alignment horizontal="centerContinuous" vertical="center"/>
      <protection hidden="1"/>
    </xf>
    <xf numFmtId="225" fontId="0" fillId="4" borderId="14" xfId="0" applyNumberFormat="1" applyFont="1" applyFill="1" applyBorder="1" applyAlignment="1" applyProtection="1">
      <alignment horizontal="centerContinuous" vertical="center"/>
      <protection hidden="1"/>
    </xf>
    <xf numFmtId="225" fontId="0" fillId="4" borderId="12" xfId="0" applyNumberFormat="1" applyFont="1" applyFill="1" applyBorder="1" applyAlignment="1" applyProtection="1">
      <alignment horizontal="centerContinuous" vertical="center"/>
      <protection hidden="1"/>
    </xf>
    <xf numFmtId="225" fontId="0" fillId="4" borderId="4" xfId="0" applyNumberFormat="1" applyFont="1" applyFill="1" applyBorder="1" applyAlignment="1" applyProtection="1">
      <alignment horizontal="centerContinuous" vertical="center"/>
      <protection hidden="1"/>
    </xf>
    <xf numFmtId="1" fontId="0" fillId="0" borderId="0" xfId="0" applyNumberFormat="1" applyFont="1" applyAlignment="1" applyProtection="1">
      <alignment/>
      <protection hidden="1"/>
    </xf>
    <xf numFmtId="187" fontId="15" fillId="0" borderId="0" xfId="0" applyNumberFormat="1" applyFont="1" applyBorder="1" applyAlignment="1" applyProtection="1">
      <alignment horizontal="left" vertical="center"/>
      <protection hidden="1"/>
    </xf>
    <xf numFmtId="0" fontId="0" fillId="3" borderId="30" xfId="0" applyFont="1" applyFill="1" applyBorder="1" applyAlignment="1" applyProtection="1">
      <alignment horizontal="left" vertical="center"/>
      <protection hidden="1"/>
    </xf>
    <xf numFmtId="187" fontId="19" fillId="7" borderId="75" xfId="0" applyNumberFormat="1" applyFont="1" applyFill="1" applyBorder="1" applyAlignment="1" applyProtection="1">
      <alignment vertical="center"/>
      <protection hidden="1"/>
    </xf>
    <xf numFmtId="1" fontId="19" fillId="0" borderId="0" xfId="0" applyNumberFormat="1" applyFont="1" applyBorder="1" applyAlignment="1" applyProtection="1">
      <alignment horizontal="left" vertical="center"/>
      <protection hidden="1"/>
    </xf>
    <xf numFmtId="218" fontId="6" fillId="0" borderId="19" xfId="0" applyNumberFormat="1" applyFont="1" applyFill="1" applyBorder="1" applyAlignment="1" applyProtection="1">
      <alignment horizontal="center" vertical="center"/>
      <protection hidden="1"/>
    </xf>
    <xf numFmtId="218" fontId="6" fillId="0" borderId="29" xfId="0" applyNumberFormat="1" applyFont="1" applyFill="1" applyBorder="1" applyAlignment="1" applyProtection="1">
      <alignment horizontal="center" vertical="center"/>
      <protection hidden="1"/>
    </xf>
    <xf numFmtId="218" fontId="6" fillId="0" borderId="38" xfId="0" applyNumberFormat="1" applyFont="1" applyFill="1" applyBorder="1" applyAlignment="1" applyProtection="1">
      <alignment horizontal="left" vertical="center"/>
      <protection hidden="1"/>
    </xf>
    <xf numFmtId="0" fontId="0" fillId="0" borderId="0" xfId="0" applyFont="1" applyFill="1" applyAlignment="1" applyProtection="1">
      <alignment horizontal="right" vertical="center"/>
      <protection hidden="1"/>
    </xf>
    <xf numFmtId="0" fontId="6" fillId="0" borderId="0" xfId="0" applyFont="1" applyFill="1" applyAlignment="1" applyProtection="1" quotePrefix="1">
      <alignment horizontal="left" vertical="center"/>
      <protection hidden="1"/>
    </xf>
    <xf numFmtId="0" fontId="6"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21" fillId="5" borderId="0" xfId="0" applyFont="1" applyFill="1" applyAlignment="1" applyProtection="1">
      <alignment vertical="top" wrapText="1"/>
      <protection locked="0"/>
    </xf>
    <xf numFmtId="0" fontId="61" fillId="0" borderId="83" xfId="0" applyFont="1" applyBorder="1" applyAlignment="1" applyProtection="1">
      <alignment horizontal="right"/>
      <protection hidden="1"/>
    </xf>
    <xf numFmtId="0" fontId="21" fillId="5" borderId="26" xfId="0" applyFont="1" applyFill="1" applyBorder="1" applyAlignment="1" applyProtection="1">
      <alignment horizontal="center" vertical="center"/>
      <protection locked="0"/>
    </xf>
    <xf numFmtId="0" fontId="21" fillId="5" borderId="33"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21" fillId="5" borderId="27" xfId="0" applyFont="1" applyFill="1" applyBorder="1" applyAlignment="1" applyProtection="1">
      <alignment horizontal="center" vertical="center"/>
      <protection locked="0"/>
    </xf>
    <xf numFmtId="0" fontId="21" fillId="5" borderId="32" xfId="0" applyFont="1" applyFill="1" applyBorder="1" applyAlignment="1" applyProtection="1">
      <alignment horizontal="center" vertical="center"/>
      <protection locked="0"/>
    </xf>
    <xf numFmtId="0" fontId="21" fillId="5" borderId="22" xfId="0" applyFont="1" applyFill="1" applyBorder="1" applyAlignment="1" applyProtection="1">
      <alignment horizontal="center" vertical="center"/>
      <protection locked="0"/>
    </xf>
    <xf numFmtId="0" fontId="21" fillId="5" borderId="27" xfId="0" applyFont="1" applyFill="1" applyBorder="1" applyAlignment="1" applyProtection="1">
      <alignment horizontal="center"/>
      <protection locked="0"/>
    </xf>
    <xf numFmtId="0" fontId="21" fillId="5" borderId="32" xfId="0" applyFont="1" applyFill="1" applyBorder="1" applyAlignment="1" applyProtection="1">
      <alignment horizontal="center"/>
      <protection locked="0"/>
    </xf>
    <xf numFmtId="0" fontId="21" fillId="5" borderId="22" xfId="0" applyFont="1" applyFill="1" applyBorder="1" applyAlignment="1" applyProtection="1">
      <alignment horizontal="center"/>
      <protection locked="0"/>
    </xf>
    <xf numFmtId="187" fontId="0" fillId="0" borderId="0" xfId="0" applyNumberFormat="1" applyFont="1" applyAlignment="1" applyProtection="1">
      <alignment/>
      <protection hidden="1"/>
    </xf>
    <xf numFmtId="187" fontId="40" fillId="5" borderId="63" xfId="0" applyNumberFormat="1" applyFont="1" applyFill="1" applyBorder="1" applyAlignment="1" applyProtection="1">
      <alignment horizontal="right" vertical="center"/>
      <protection hidden="1"/>
    </xf>
    <xf numFmtId="187" fontId="40" fillId="5" borderId="64" xfId="0" applyNumberFormat="1" applyFont="1" applyFill="1" applyBorder="1" applyAlignment="1" applyProtection="1">
      <alignment horizontal="left" vertical="center"/>
      <protection hidden="1"/>
    </xf>
    <xf numFmtId="204" fontId="40" fillId="5" borderId="64" xfId="0" applyNumberFormat="1" applyFont="1" applyFill="1" applyBorder="1" applyAlignment="1" applyProtection="1">
      <alignment horizontal="left" vertical="center"/>
      <protection hidden="1"/>
    </xf>
    <xf numFmtId="187" fontId="58" fillId="5" borderId="63" xfId="0" applyNumberFormat="1" applyFont="1" applyFill="1" applyBorder="1" applyAlignment="1" applyProtection="1">
      <alignment horizontal="right" vertical="center"/>
      <protection hidden="1"/>
    </xf>
    <xf numFmtId="187" fontId="19" fillId="0" borderId="0" xfId="0" applyNumberFormat="1" applyFont="1" applyFill="1" applyBorder="1" applyAlignment="1" applyProtection="1">
      <alignment horizontal="right" vertical="center"/>
      <protection hidden="1"/>
    </xf>
    <xf numFmtId="187" fontId="19" fillId="0" borderId="0" xfId="0" applyNumberFormat="1" applyFont="1" applyFill="1" applyBorder="1" applyAlignment="1" applyProtection="1">
      <alignment horizontal="left" vertical="center"/>
      <protection hidden="1"/>
    </xf>
    <xf numFmtId="0" fontId="40" fillId="5" borderId="64" xfId="0" applyFont="1" applyFill="1" applyBorder="1" applyAlignment="1" applyProtection="1">
      <alignment horizontal="left"/>
      <protection hidden="1"/>
    </xf>
    <xf numFmtId="0" fontId="40" fillId="5" borderId="63" xfId="0" applyFont="1" applyFill="1" applyBorder="1" applyAlignment="1" applyProtection="1">
      <alignment horizontal="right" vertical="center"/>
      <protection hidden="1"/>
    </xf>
    <xf numFmtId="0" fontId="40" fillId="5" borderId="64" xfId="0" applyFont="1" applyFill="1" applyBorder="1" applyAlignment="1" applyProtection="1">
      <alignment horizontal="left" vertical="center"/>
      <protection hidden="1"/>
    </xf>
    <xf numFmtId="0" fontId="58" fillId="5" borderId="63" xfId="0" applyFont="1" applyFill="1" applyBorder="1" applyAlignment="1" applyProtection="1">
      <alignment horizontal="right" vertical="center"/>
      <protection hidden="1"/>
    </xf>
    <xf numFmtId="188" fontId="40" fillId="5" borderId="64" xfId="0" applyNumberFormat="1" applyFont="1" applyFill="1" applyBorder="1" applyAlignment="1" applyProtection="1">
      <alignment horizontal="left"/>
      <protection hidden="1"/>
    </xf>
    <xf numFmtId="0" fontId="40" fillId="5" borderId="84" xfId="0" applyFont="1" applyFill="1" applyBorder="1" applyAlignment="1" applyProtection="1">
      <alignment horizontal="left" vertical="center"/>
      <protection hidden="1"/>
    </xf>
    <xf numFmtId="1" fontId="19" fillId="0" borderId="0" xfId="0" applyNumberFormat="1" applyFont="1" applyFill="1" applyBorder="1" applyAlignment="1" applyProtection="1" quotePrefix="1">
      <alignment horizontal="center" vertical="center" wrapText="1"/>
      <protection hidden="1"/>
    </xf>
    <xf numFmtId="1" fontId="19" fillId="0" borderId="0" xfId="0" applyNumberFormat="1" applyFont="1" applyFill="1" applyBorder="1" applyAlignment="1" applyProtection="1">
      <alignment horizontal="center" vertical="center"/>
      <protection hidden="1"/>
    </xf>
    <xf numFmtId="0" fontId="40" fillId="5" borderId="85" xfId="0"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0" fontId="37" fillId="0" borderId="0" xfId="0" applyFont="1" applyAlignment="1" applyProtection="1">
      <alignment horizontal="left" vertical="center"/>
      <protection hidden="1"/>
    </xf>
    <xf numFmtId="187" fontId="19" fillId="0" borderId="86" xfId="0" applyNumberFormat="1" applyFont="1" applyFill="1" applyBorder="1" applyAlignment="1" applyProtection="1">
      <alignment horizontal="right" vertical="center"/>
      <protection hidden="1"/>
    </xf>
    <xf numFmtId="187" fontId="19" fillId="0" borderId="86" xfId="0" applyNumberFormat="1" applyFont="1" applyFill="1" applyBorder="1" applyAlignment="1" applyProtection="1">
      <alignment horizontal="left" vertical="center"/>
      <protection hidden="1"/>
    </xf>
    <xf numFmtId="187" fontId="19" fillId="0" borderId="87" xfId="0" applyNumberFormat="1" applyFont="1" applyFill="1" applyBorder="1" applyAlignment="1" applyProtection="1">
      <alignment horizontal="right" vertical="center"/>
      <protection hidden="1"/>
    </xf>
    <xf numFmtId="1" fontId="19" fillId="0" borderId="0" xfId="0" applyNumberFormat="1" applyFont="1" applyFill="1" applyBorder="1" applyAlignment="1" applyProtection="1">
      <alignment horizontal="left" vertical="center"/>
      <protection hidden="1"/>
    </xf>
    <xf numFmtId="187" fontId="19" fillId="0" borderId="15" xfId="0" applyNumberFormat="1" applyFont="1" applyFill="1" applyBorder="1" applyAlignment="1" applyProtection="1">
      <alignment horizontal="right" vertical="center"/>
      <protection hidden="1"/>
    </xf>
    <xf numFmtId="1" fontId="19" fillId="0" borderId="15" xfId="0" applyNumberFormat="1" applyFont="1" applyFill="1" applyBorder="1" applyAlignment="1" applyProtection="1">
      <alignment horizontal="left" vertical="center"/>
      <protection hidden="1"/>
    </xf>
    <xf numFmtId="1" fontId="19" fillId="0" borderId="86" xfId="0" applyNumberFormat="1" applyFont="1" applyFill="1" applyBorder="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187" fontId="15" fillId="0" borderId="10" xfId="0" applyNumberFormat="1" applyFont="1" applyBorder="1" applyAlignment="1" applyProtection="1">
      <alignment horizontal="center" vertical="center"/>
      <protection hidden="1"/>
    </xf>
    <xf numFmtId="1" fontId="40" fillId="5" borderId="85" xfId="0" applyNumberFormat="1" applyFont="1" applyFill="1" applyBorder="1" applyAlignment="1" applyProtection="1">
      <alignment horizontal="center" vertical="center"/>
      <protection hidden="1"/>
    </xf>
    <xf numFmtId="1" fontId="19" fillId="0" borderId="66" xfId="0" applyNumberFormat="1" applyFont="1" applyFill="1" applyBorder="1" applyAlignment="1" applyProtection="1" quotePrefix="1">
      <alignment horizontal="center" vertical="center" wrapText="1"/>
      <protection hidden="1"/>
    </xf>
    <xf numFmtId="0" fontId="19" fillId="0" borderId="0" xfId="0" applyFont="1" applyFill="1" applyBorder="1" applyAlignment="1" applyProtection="1">
      <alignment horizontal="right"/>
      <protection hidden="1"/>
    </xf>
    <xf numFmtId="187" fontId="19" fillId="0" borderId="0" xfId="0" applyNumberFormat="1" applyFont="1" applyFill="1" applyBorder="1" applyAlignment="1" applyProtection="1">
      <alignment horizontal="left"/>
      <protection hidden="1"/>
    </xf>
    <xf numFmtId="0" fontId="15" fillId="0" borderId="0" xfId="0" applyFont="1" applyFill="1" applyBorder="1" applyAlignment="1" applyProtection="1">
      <alignment horizontal="right" vertical="center"/>
      <protection hidden="1"/>
    </xf>
    <xf numFmtId="0" fontId="58" fillId="5" borderId="63" xfId="0" applyFont="1" applyFill="1" applyBorder="1" applyAlignment="1" applyProtection="1">
      <alignment horizontal="right"/>
      <protection hidden="1"/>
    </xf>
    <xf numFmtId="188" fontId="19" fillId="0" borderId="0" xfId="0" applyNumberFormat="1" applyFont="1" applyFill="1" applyBorder="1" applyAlignment="1" applyProtection="1">
      <alignment horizontal="left"/>
      <protection hidden="1"/>
    </xf>
    <xf numFmtId="2"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left"/>
      <protection hidden="1"/>
    </xf>
    <xf numFmtId="0" fontId="19" fillId="0" borderId="0" xfId="0" applyFont="1" applyFill="1" applyBorder="1" applyAlignment="1" applyProtection="1">
      <alignment horizontal="left" vertical="center"/>
      <protection hidden="1"/>
    </xf>
    <xf numFmtId="187" fontId="58" fillId="0" borderId="0" xfId="0" applyNumberFormat="1" applyFont="1" applyAlignment="1" applyProtection="1">
      <alignment horizontal="right" vertical="center"/>
      <protection hidden="1"/>
    </xf>
    <xf numFmtId="224" fontId="40" fillId="4" borderId="60" xfId="0" applyNumberFormat="1" applyFont="1" applyFill="1" applyBorder="1" applyAlignment="1" applyProtection="1">
      <alignment horizontal="left"/>
      <protection hidden="1"/>
    </xf>
    <xf numFmtId="0" fontId="0" fillId="0" borderId="0" xfId="0" applyFont="1" applyBorder="1" applyAlignment="1" applyProtection="1">
      <alignment horizontal="right" vertical="center"/>
      <protection hidden="1"/>
    </xf>
    <xf numFmtId="0" fontId="6" fillId="0" borderId="0" xfId="0" applyFont="1" applyFill="1" applyAlignment="1" applyProtection="1">
      <alignment vertical="center"/>
      <protection hidden="1"/>
    </xf>
    <xf numFmtId="188" fontId="9" fillId="5" borderId="3" xfId="0" applyNumberFormat="1" applyFont="1" applyFill="1" applyBorder="1" applyAlignment="1" applyProtection="1">
      <alignment horizontal="center" vertical="center"/>
      <protection locked="0"/>
    </xf>
    <xf numFmtId="188" fontId="9" fillId="5" borderId="12" xfId="0" applyNumberFormat="1" applyFont="1" applyFill="1" applyBorder="1" applyAlignment="1" applyProtection="1">
      <alignment horizontal="center" vertical="center"/>
      <protection locked="0"/>
    </xf>
    <xf numFmtId="191" fontId="9" fillId="5" borderId="5" xfId="0" applyNumberFormat="1" applyFont="1" applyFill="1" applyBorder="1" applyAlignment="1" applyProtection="1">
      <alignment horizontal="center" vertical="center"/>
      <protection locked="0"/>
    </xf>
    <xf numFmtId="191" fontId="9" fillId="5" borderId="4" xfId="0" applyNumberFormat="1" applyFont="1" applyFill="1" applyBorder="1" applyAlignment="1" applyProtection="1">
      <alignment horizontal="center" vertical="center"/>
      <protection locked="0"/>
    </xf>
    <xf numFmtId="188" fontId="40" fillId="5" borderId="64" xfId="0" applyNumberFormat="1" applyFont="1" applyFill="1" applyBorder="1" applyAlignment="1" applyProtection="1">
      <alignment horizontal="left" vertical="center"/>
      <protection hidden="1"/>
    </xf>
    <xf numFmtId="188" fontId="19" fillId="0" borderId="0" xfId="0" applyNumberFormat="1" applyFont="1" applyBorder="1" applyAlignment="1" applyProtection="1">
      <alignment horizontal="left" vertical="center"/>
      <protection hidden="1"/>
    </xf>
    <xf numFmtId="0" fontId="15" fillId="0" borderId="0" xfId="0" applyFont="1" applyFill="1" applyBorder="1" applyAlignment="1" applyProtection="1">
      <alignment horizontal="right" vertical="center" wrapText="1"/>
      <protection hidden="1"/>
    </xf>
    <xf numFmtId="0" fontId="15" fillId="0" borderId="0" xfId="0" applyFont="1" applyFill="1" applyBorder="1" applyAlignment="1" applyProtection="1">
      <alignment horizontal="right"/>
      <protection hidden="1"/>
    </xf>
    <xf numFmtId="1" fontId="19" fillId="0" borderId="0" xfId="0" applyNumberFormat="1" applyFont="1" applyFill="1" applyBorder="1" applyAlignment="1" applyProtection="1">
      <alignment horizontal="left"/>
      <protection hidden="1"/>
    </xf>
    <xf numFmtId="0" fontId="19" fillId="0" borderId="0" xfId="0" applyFont="1" applyFill="1" applyBorder="1" applyAlignment="1" applyProtection="1">
      <alignment horizontal="right" vertical="center"/>
      <protection hidden="1"/>
    </xf>
    <xf numFmtId="0" fontId="40" fillId="5" borderId="64" xfId="0" applyFont="1" applyFill="1" applyBorder="1" applyAlignment="1" applyProtection="1">
      <alignment/>
      <protection hidden="1"/>
    </xf>
    <xf numFmtId="0" fontId="40" fillId="5" borderId="64" xfId="0" applyFont="1" applyFill="1" applyBorder="1" applyAlignment="1" applyProtection="1">
      <alignment horizontal="center" vertical="center"/>
      <protection hidden="1"/>
    </xf>
    <xf numFmtId="188" fontId="19" fillId="0" borderId="0" xfId="0" applyNumberFormat="1"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37"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187" fontId="6" fillId="0" borderId="32" xfId="0" applyNumberFormat="1" applyFont="1" applyFill="1" applyBorder="1" applyAlignment="1" applyProtection="1">
      <alignment horizontal="center" vertical="center"/>
      <protection hidden="1"/>
    </xf>
    <xf numFmtId="187" fontId="0" fillId="0" borderId="0" xfId="0" applyNumberFormat="1" applyAlignment="1" applyProtection="1">
      <alignment/>
      <protection hidden="1"/>
    </xf>
    <xf numFmtId="187" fontId="6" fillId="0" borderId="88" xfId="0" applyNumberFormat="1" applyFont="1" applyBorder="1" applyAlignment="1" applyProtection="1">
      <alignment horizontal="left" vertical="center"/>
      <protection hidden="1"/>
    </xf>
    <xf numFmtId="0" fontId="0" fillId="0" borderId="26" xfId="0" applyFont="1" applyBorder="1" applyAlignment="1" applyProtection="1">
      <alignment vertical="center"/>
      <protection hidden="1"/>
    </xf>
    <xf numFmtId="0" fontId="11" fillId="0" borderId="27" xfId="0" applyFont="1" applyBorder="1" applyAlignment="1" applyProtection="1">
      <alignment horizontal="center"/>
      <protection hidden="1"/>
    </xf>
    <xf numFmtId="187" fontId="0" fillId="0" borderId="32" xfId="0" applyNumberFormat="1" applyBorder="1" applyAlignment="1" applyProtection="1">
      <alignment/>
      <protection hidden="1"/>
    </xf>
    <xf numFmtId="187" fontId="0" fillId="0" borderId="22" xfId="0" applyNumberFormat="1" applyFont="1" applyBorder="1" applyAlignment="1" applyProtection="1">
      <alignment vertical="center"/>
      <protection hidden="1"/>
    </xf>
    <xf numFmtId="187" fontId="0" fillId="0" borderId="22" xfId="0" applyNumberFormat="1" applyBorder="1" applyAlignment="1" applyProtection="1">
      <alignment/>
      <protection hidden="1"/>
    </xf>
    <xf numFmtId="187" fontId="0" fillId="0" borderId="32" xfId="0" applyNumberFormat="1" applyFont="1" applyFill="1" applyBorder="1" applyAlignment="1" applyProtection="1">
      <alignment/>
      <protection hidden="1"/>
    </xf>
    <xf numFmtId="0" fontId="11" fillId="0" borderId="37" xfId="0" applyFont="1" applyBorder="1" applyAlignment="1" applyProtection="1">
      <alignment horizontal="center"/>
      <protection hidden="1"/>
    </xf>
    <xf numFmtId="187" fontId="0" fillId="0" borderId="46" xfId="0" applyNumberFormat="1" applyFont="1" applyBorder="1" applyAlignment="1" applyProtection="1">
      <alignment vertical="center"/>
      <protection hidden="1"/>
    </xf>
    <xf numFmtId="187" fontId="0" fillId="0" borderId="4" xfId="0" applyNumberFormat="1" applyFont="1" applyBorder="1" applyAlignment="1" applyProtection="1">
      <alignment vertical="center"/>
      <protection hidden="1"/>
    </xf>
    <xf numFmtId="0" fontId="19" fillId="0" borderId="49" xfId="0" applyFont="1" applyFill="1" applyBorder="1" applyAlignment="1" applyProtection="1">
      <alignment/>
      <protection hidden="1"/>
    </xf>
    <xf numFmtId="0" fontId="19" fillId="0" borderId="51" xfId="0" applyFont="1" applyFill="1" applyBorder="1" applyAlignment="1" applyProtection="1">
      <alignment/>
      <protection hidden="1"/>
    </xf>
    <xf numFmtId="0" fontId="25" fillId="0" borderId="51" xfId="0" applyFont="1" applyFill="1" applyBorder="1" applyAlignment="1" applyProtection="1">
      <alignment vertical="center"/>
      <protection hidden="1"/>
    </xf>
    <xf numFmtId="0" fontId="19" fillId="0" borderId="53" xfId="0" applyFont="1" applyFill="1" applyBorder="1" applyAlignment="1" applyProtection="1">
      <alignment/>
      <protection hidden="1"/>
    </xf>
    <xf numFmtId="0" fontId="25" fillId="0" borderId="53" xfId="0" applyFont="1" applyFill="1" applyBorder="1" applyAlignment="1" applyProtection="1">
      <alignment vertical="center"/>
      <protection hidden="1"/>
    </xf>
    <xf numFmtId="186" fontId="6" fillId="0" borderId="13" xfId="0" applyNumberFormat="1" applyFont="1" applyFill="1" applyBorder="1" applyAlignment="1" applyProtection="1">
      <alignment horizontal="center" vertical="center"/>
      <protection hidden="1"/>
    </xf>
    <xf numFmtId="0" fontId="21" fillId="5" borderId="19" xfId="0" applyFont="1" applyFill="1" applyBorder="1" applyAlignment="1" applyProtection="1">
      <alignment horizontal="center"/>
      <protection locked="0"/>
    </xf>
    <xf numFmtId="0" fontId="9" fillId="5" borderId="40" xfId="0" applyFont="1" applyFill="1" applyBorder="1" applyAlignment="1" applyProtection="1">
      <alignment horizontal="center" vertical="center"/>
      <protection locked="0"/>
    </xf>
    <xf numFmtId="0" fontId="62" fillId="0" borderId="33" xfId="0" applyFont="1" applyBorder="1" applyAlignment="1" applyProtection="1">
      <alignment vertical="center"/>
      <protection hidden="1"/>
    </xf>
    <xf numFmtId="0" fontId="62" fillId="0" borderId="21" xfId="0" applyFont="1" applyBorder="1" applyAlignment="1" applyProtection="1">
      <alignment vertical="center"/>
      <protection hidden="1"/>
    </xf>
    <xf numFmtId="0" fontId="9" fillId="5" borderId="89" xfId="0" applyNumberFormat="1" applyFont="1" applyFill="1" applyBorder="1" applyAlignment="1" applyProtection="1">
      <alignment horizontal="center" vertical="center"/>
      <protection locked="0"/>
    </xf>
    <xf numFmtId="0" fontId="9" fillId="5" borderId="12" xfId="0" applyNumberFormat="1" applyFont="1" applyFill="1" applyBorder="1" applyAlignment="1" applyProtection="1">
      <alignment horizontal="center" vertical="center"/>
      <protection locked="0"/>
    </xf>
    <xf numFmtId="0" fontId="9" fillId="5" borderId="76" xfId="0" applyNumberFormat="1" applyFont="1" applyFill="1" applyBorder="1" applyAlignment="1" applyProtection="1">
      <alignment horizontal="center" vertical="center"/>
      <protection locked="0"/>
    </xf>
    <xf numFmtId="186" fontId="6" fillId="0" borderId="5" xfId="0" applyNumberFormat="1" applyFont="1" applyFill="1" applyBorder="1" applyAlignment="1" applyProtection="1">
      <alignment horizontal="center" vertical="center"/>
      <protection hidden="1"/>
    </xf>
    <xf numFmtId="186" fontId="6" fillId="0" borderId="8" xfId="0" applyNumberFormat="1"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9" fillId="5" borderId="90" xfId="0" applyNumberFormat="1" applyFont="1" applyFill="1" applyBorder="1" applyAlignment="1" applyProtection="1">
      <alignment horizontal="center" vertical="center"/>
      <protection locked="0"/>
    </xf>
    <xf numFmtId="0" fontId="9" fillId="5" borderId="91" xfId="0" applyNumberFormat="1" applyFont="1" applyFill="1" applyBorder="1" applyAlignment="1" applyProtection="1">
      <alignment horizontal="center" vertical="center"/>
      <protection locked="0"/>
    </xf>
    <xf numFmtId="0" fontId="9" fillId="5" borderId="92" xfId="0" applyNumberFormat="1" applyFont="1" applyFill="1" applyBorder="1" applyAlignment="1" applyProtection="1">
      <alignment horizontal="center" vertical="center"/>
      <protection locked="0"/>
    </xf>
    <xf numFmtId="0" fontId="19" fillId="0" borderId="0" xfId="0" applyFont="1" applyAlignment="1" applyProtection="1">
      <alignment horizontal="justify" vertical="top" wrapText="1"/>
      <protection hidden="1"/>
    </xf>
    <xf numFmtId="0" fontId="0" fillId="0" borderId="61" xfId="0" applyFont="1" applyBorder="1" applyAlignment="1" applyProtection="1" quotePrefix="1">
      <alignment horizontal="left" vertical="center"/>
      <protection hidden="1"/>
    </xf>
    <xf numFmtId="0" fontId="0" fillId="0" borderId="65" xfId="0" applyFont="1" applyBorder="1" applyAlignment="1" applyProtection="1" quotePrefix="1">
      <alignment horizontal="left" vertical="center"/>
      <protection hidden="1"/>
    </xf>
    <xf numFmtId="0" fontId="0" fillId="0" borderId="47" xfId="0" applyFont="1" applyBorder="1" applyAlignment="1" applyProtection="1" quotePrefix="1">
      <alignment horizontal="left" vertical="center"/>
      <protection hidden="1"/>
    </xf>
    <xf numFmtId="0" fontId="9" fillId="5" borderId="5" xfId="0" applyNumberFormat="1" applyFont="1" applyFill="1" applyBorder="1" applyAlignment="1" applyProtection="1">
      <alignment horizontal="center" vertical="center"/>
      <protection locked="0"/>
    </xf>
    <xf numFmtId="0" fontId="9" fillId="5" borderId="8" xfId="0" applyNumberFormat="1" applyFont="1" applyFill="1" applyBorder="1" applyAlignment="1" applyProtection="1">
      <alignment horizontal="center" vertical="center"/>
      <protection locked="0"/>
    </xf>
    <xf numFmtId="0" fontId="9" fillId="5" borderId="13" xfId="0" applyNumberFormat="1" applyFont="1" applyFill="1" applyBorder="1" applyAlignment="1" applyProtection="1">
      <alignment horizontal="center" vertical="center"/>
      <protection locked="0"/>
    </xf>
    <xf numFmtId="2" fontId="6" fillId="0" borderId="19" xfId="0" applyNumberFormat="1" applyFont="1" applyFill="1" applyBorder="1" applyAlignment="1" applyProtection="1">
      <alignment horizontal="center" vertical="center"/>
      <protection hidden="1"/>
    </xf>
    <xf numFmtId="0" fontId="6" fillId="0" borderId="29" xfId="0" applyFont="1" applyFill="1" applyBorder="1" applyAlignment="1" applyProtection="1">
      <alignment horizontal="center" vertical="center"/>
      <protection hidden="1"/>
    </xf>
    <xf numFmtId="0" fontId="6" fillId="0" borderId="38" xfId="0" applyFont="1" applyFill="1" applyBorder="1" applyAlignment="1" applyProtection="1">
      <alignment horizontal="center" vertical="center"/>
      <protection hidden="1"/>
    </xf>
    <xf numFmtId="0" fontId="19" fillId="0" borderId="0" xfId="0"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19" fillId="0" borderId="0" xfId="0" applyFont="1" applyAlignment="1" applyProtection="1">
      <alignment horizontal="left" vertical="top" wrapText="1"/>
      <protection hidden="1"/>
    </xf>
    <xf numFmtId="0" fontId="40" fillId="0" borderId="0" xfId="0" applyFont="1" applyAlignment="1" applyProtection="1">
      <alignment horizontal="left" vertical="center" wrapText="1"/>
      <protection hidden="1"/>
    </xf>
    <xf numFmtId="2" fontId="6" fillId="2" borderId="3" xfId="0" applyNumberFormat="1" applyFont="1" applyFill="1" applyBorder="1" applyAlignment="1" applyProtection="1">
      <alignment horizontal="centerContinuous" vertical="center"/>
      <protection hidden="1"/>
    </xf>
    <xf numFmtId="0" fontId="40" fillId="0" borderId="0" xfId="0" applyFont="1" applyBorder="1" applyAlignment="1" applyProtection="1">
      <alignment horizontal="left" vertical="center" wrapText="1"/>
      <protection hidden="1"/>
    </xf>
    <xf numFmtId="0" fontId="41" fillId="0" borderId="0" xfId="0" applyFont="1" applyBorder="1" applyAlignment="1" applyProtection="1">
      <alignment horizontal="left" vertical="center" wrapText="1"/>
      <protection hidden="1"/>
    </xf>
    <xf numFmtId="0" fontId="39" fillId="5" borderId="93" xfId="0" applyFont="1" applyFill="1" applyBorder="1" applyAlignment="1" applyProtection="1">
      <alignment horizontal="center" vertical="center"/>
      <protection locked="0"/>
    </xf>
    <xf numFmtId="0" fontId="0" fillId="8" borderId="94" xfId="0" applyFill="1" applyBorder="1" applyAlignment="1" applyProtection="1">
      <alignment/>
      <protection locked="0"/>
    </xf>
    <xf numFmtId="0" fontId="0" fillId="8" borderId="95" xfId="0" applyFill="1" applyBorder="1" applyAlignment="1" applyProtection="1">
      <alignment/>
      <protection locked="0"/>
    </xf>
    <xf numFmtId="0" fontId="25" fillId="4" borderId="0" xfId="0" applyFont="1" applyFill="1" applyBorder="1" applyAlignment="1" applyProtection="1">
      <alignment horizontal="left" vertical="center" wrapText="1"/>
      <protection hidden="1"/>
    </xf>
    <xf numFmtId="0" fontId="19" fillId="0" borderId="0" xfId="0" applyFont="1" applyBorder="1" applyAlignment="1" applyProtection="1">
      <alignment horizontal="left" vertical="center" wrapText="1"/>
      <protection hidden="1"/>
    </xf>
    <xf numFmtId="0" fontId="38" fillId="0" borderId="0" xfId="0" applyFont="1" applyAlignment="1" applyProtection="1">
      <alignment horizontal="left" vertical="top" wrapText="1"/>
      <protection hidden="1"/>
    </xf>
    <xf numFmtId="0" fontId="25" fillId="5" borderId="96"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wrapText="1"/>
      <protection hidden="1"/>
    </xf>
    <xf numFmtId="0" fontId="21" fillId="5" borderId="29" xfId="0" applyFont="1" applyFill="1" applyBorder="1" applyAlignment="1" applyProtection="1">
      <alignment horizontal="center"/>
      <protection locked="0"/>
    </xf>
    <xf numFmtId="0" fontId="21" fillId="5" borderId="38" xfId="0" applyFont="1" applyFill="1" applyBorder="1" applyAlignment="1" applyProtection="1">
      <alignment horizontal="center"/>
      <protection locked="0"/>
    </xf>
    <xf numFmtId="1" fontId="6" fillId="0" borderId="27" xfId="0" applyNumberFormat="1" applyFont="1" applyFill="1" applyBorder="1" applyAlignment="1" applyProtection="1">
      <alignment horizontal="center" vertical="center"/>
      <protection hidden="1"/>
    </xf>
    <xf numFmtId="1" fontId="6" fillId="0" borderId="32" xfId="0" applyNumberFormat="1" applyFont="1" applyFill="1" applyBorder="1" applyAlignment="1" applyProtection="1">
      <alignment horizontal="center" vertical="center"/>
      <protection hidden="1"/>
    </xf>
    <xf numFmtId="1" fontId="6" fillId="0" borderId="22" xfId="0" applyNumberFormat="1" applyFont="1" applyFill="1" applyBorder="1" applyAlignment="1" applyProtection="1">
      <alignment horizontal="center" vertical="center"/>
      <protection hidden="1"/>
    </xf>
    <xf numFmtId="0" fontId="0" fillId="0" borderId="15" xfId="0" applyFont="1" applyBorder="1" applyAlignment="1" applyProtection="1">
      <alignment horizontal="right" vertical="center"/>
      <protection hidden="1"/>
    </xf>
    <xf numFmtId="0" fontId="0" fillId="0" borderId="3" xfId="0" applyFont="1" applyBorder="1" applyAlignment="1" applyProtection="1">
      <alignment horizontal="left" vertical="center"/>
      <protection hidden="1"/>
    </xf>
    <xf numFmtId="0" fontId="0" fillId="0" borderId="7" xfId="0" applyFont="1" applyBorder="1" applyAlignment="1" applyProtection="1">
      <alignment horizontal="left" vertical="center"/>
      <protection hidden="1"/>
    </xf>
    <xf numFmtId="0" fontId="0" fillId="0" borderId="80" xfId="0" applyFont="1" applyBorder="1" applyAlignment="1" applyProtection="1">
      <alignment horizontal="left" vertical="center"/>
      <protection hidden="1"/>
    </xf>
    <xf numFmtId="0" fontId="0" fillId="0" borderId="30" xfId="0" applyFont="1" applyBorder="1" applyAlignment="1" applyProtection="1">
      <alignment horizontal="left" vertical="center"/>
      <protection hidden="1"/>
    </xf>
    <xf numFmtId="0" fontId="0" fillId="0" borderId="16" xfId="0" applyFont="1" applyBorder="1" applyAlignment="1" applyProtection="1">
      <alignment horizontal="left" vertical="center"/>
      <protection hidden="1"/>
    </xf>
    <xf numFmtId="0" fontId="0" fillId="0" borderId="79" xfId="0" applyFont="1" applyBorder="1" applyAlignment="1" applyProtection="1">
      <alignment horizontal="left" vertical="center"/>
      <protection hidden="1"/>
    </xf>
    <xf numFmtId="196" fontId="6" fillId="2" borderId="19" xfId="0" applyNumberFormat="1" applyFont="1" applyFill="1" applyBorder="1" applyAlignment="1" applyProtection="1">
      <alignment horizontal="center" vertical="center"/>
      <protection hidden="1"/>
    </xf>
    <xf numFmtId="196" fontId="6" fillId="2" borderId="38" xfId="0" applyNumberFormat="1" applyFont="1" applyFill="1" applyBorder="1" applyAlignment="1" applyProtection="1">
      <alignment horizontal="center" vertical="center"/>
      <protection hidden="1"/>
    </xf>
    <xf numFmtId="0" fontId="19" fillId="0" borderId="97" xfId="0" applyFont="1" applyBorder="1" applyAlignment="1" applyProtection="1">
      <alignment horizontal="left" vertical="center"/>
      <protection hidden="1"/>
    </xf>
    <xf numFmtId="0" fontId="19" fillId="0" borderId="54" xfId="0" applyFont="1" applyBorder="1" applyAlignment="1" applyProtection="1">
      <alignment horizontal="left" vertical="center"/>
      <protection hidden="1"/>
    </xf>
    <xf numFmtId="0" fontId="19" fillId="0" borderId="54" xfId="0" applyFont="1" applyBorder="1" applyAlignment="1" applyProtection="1">
      <alignment horizontal="center" vertical="center" wrapText="1"/>
      <protection hidden="1"/>
    </xf>
    <xf numFmtId="0" fontId="19" fillId="0" borderId="72" xfId="0" applyFont="1" applyBorder="1" applyAlignment="1" applyProtection="1">
      <alignment horizontal="center" vertical="center" wrapText="1"/>
      <protection hidden="1"/>
    </xf>
    <xf numFmtId="0" fontId="19" fillId="0" borderId="98" xfId="0" applyFont="1" applyBorder="1" applyAlignment="1" applyProtection="1">
      <alignment horizontal="left" vertical="center"/>
      <protection hidden="1"/>
    </xf>
    <xf numFmtId="0" fontId="19" fillId="0" borderId="72" xfId="0" applyFont="1" applyBorder="1" applyAlignment="1" applyProtection="1">
      <alignment horizontal="left" vertical="center"/>
      <protection hidden="1"/>
    </xf>
    <xf numFmtId="0" fontId="19" fillId="0" borderId="98" xfId="0" applyFont="1" applyBorder="1" applyAlignment="1" applyProtection="1">
      <alignment horizontal="center" wrapText="1"/>
      <protection hidden="1"/>
    </xf>
    <xf numFmtId="0" fontId="19" fillId="0" borderId="72" xfId="0" applyFont="1" applyBorder="1" applyAlignment="1" applyProtection="1">
      <alignment horizontal="center" wrapText="1"/>
      <protection hidden="1"/>
    </xf>
    <xf numFmtId="0" fontId="19" fillId="0" borderId="74" xfId="0" applyFont="1" applyBorder="1" applyAlignment="1" applyProtection="1">
      <alignment horizontal="center" wrapText="1"/>
      <protection hidden="1"/>
    </xf>
    <xf numFmtId="0" fontId="19" fillId="0" borderId="99" xfId="0" applyFont="1" applyBorder="1" applyAlignment="1" applyProtection="1">
      <alignment horizontal="center" vertical="center" wrapText="1"/>
      <protection hidden="1"/>
    </xf>
    <xf numFmtId="0" fontId="19" fillId="0" borderId="100" xfId="0" applyFont="1" applyBorder="1" applyAlignment="1" applyProtection="1">
      <alignment horizontal="center" vertical="center" wrapText="1"/>
      <protection hidden="1"/>
    </xf>
    <xf numFmtId="0" fontId="19" fillId="0" borderId="97" xfId="0" applyFont="1" applyBorder="1" applyAlignment="1" applyProtection="1">
      <alignment horizontal="center" vertical="center" wrapText="1"/>
      <protection hidden="1"/>
    </xf>
    <xf numFmtId="0" fontId="19" fillId="0" borderId="101" xfId="0" applyFont="1" applyBorder="1" applyAlignment="1" applyProtection="1">
      <alignment horizontal="center" vertical="center" wrapText="1"/>
      <protection hidden="1"/>
    </xf>
    <xf numFmtId="0" fontId="19" fillId="0" borderId="97" xfId="0" applyFont="1" applyBorder="1" applyAlignment="1" applyProtection="1">
      <alignment horizontal="center" wrapText="1"/>
      <protection hidden="1"/>
    </xf>
    <xf numFmtId="0" fontId="19" fillId="0" borderId="54" xfId="0" applyFont="1" applyBorder="1" applyAlignment="1" applyProtection="1">
      <alignment horizontal="center" wrapText="1"/>
      <protection hidden="1"/>
    </xf>
    <xf numFmtId="0" fontId="19" fillId="0" borderId="73" xfId="0" applyFont="1" applyBorder="1" applyAlignment="1" applyProtection="1">
      <alignment horizontal="center" wrapText="1"/>
      <protection hidden="1"/>
    </xf>
    <xf numFmtId="224" fontId="19" fillId="0" borderId="0" xfId="0" applyNumberFormat="1" applyFont="1" applyFill="1" applyBorder="1" applyAlignment="1" applyProtection="1">
      <alignment horizontal="left" vertical="center"/>
      <protection hidden="1"/>
    </xf>
    <xf numFmtId="0" fontId="19" fillId="0" borderId="99" xfId="0" applyFont="1" applyBorder="1" applyAlignment="1" applyProtection="1">
      <alignment horizontal="center" wrapText="1"/>
      <protection hidden="1"/>
    </xf>
    <xf numFmtId="0" fontId="19" fillId="0" borderId="100" xfId="0" applyFont="1" applyBorder="1" applyAlignment="1" applyProtection="1">
      <alignment horizontal="center" wrapText="1"/>
      <protection hidden="1"/>
    </xf>
    <xf numFmtId="0" fontId="19" fillId="0" borderId="101" xfId="0" applyFont="1" applyBorder="1" applyAlignment="1" applyProtection="1">
      <alignment horizontal="center" wrapText="1"/>
      <protection hidden="1"/>
    </xf>
    <xf numFmtId="0" fontId="19" fillId="0" borderId="72" xfId="0" applyFont="1" applyBorder="1" applyAlignment="1" applyProtection="1">
      <alignment horizontal="center" vertical="center"/>
      <protection hidden="1"/>
    </xf>
    <xf numFmtId="0" fontId="19" fillId="0" borderId="74"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9" fillId="0" borderId="97" xfId="0" applyFont="1" applyBorder="1" applyAlignment="1" applyProtection="1">
      <alignment horizontal="left" vertical="center" wrapText="1"/>
      <protection hidden="1"/>
    </xf>
    <xf numFmtId="0" fontId="19" fillId="0" borderId="54" xfId="0" applyFont="1" applyBorder="1" applyAlignment="1" applyProtection="1">
      <alignment horizontal="left" vertical="center" wrapText="1"/>
      <protection hidden="1"/>
    </xf>
    <xf numFmtId="187" fontId="19" fillId="0" borderId="61" xfId="0" applyNumberFormat="1" applyFont="1" applyBorder="1" applyAlignment="1" applyProtection="1">
      <alignment horizontal="center" vertical="center"/>
      <protection hidden="1"/>
    </xf>
    <xf numFmtId="187" fontId="19" fillId="0" borderId="102" xfId="0" applyNumberFormat="1" applyFont="1" applyBorder="1" applyAlignment="1" applyProtection="1">
      <alignment horizontal="center" vertical="center"/>
      <protection hidden="1"/>
    </xf>
    <xf numFmtId="187" fontId="19" fillId="0" borderId="103" xfId="0" applyNumberFormat="1" applyFont="1" applyBorder="1" applyAlignment="1" applyProtection="1">
      <alignment horizontal="center" vertical="center"/>
      <protection hidden="1"/>
    </xf>
    <xf numFmtId="187" fontId="19" fillId="0" borderId="104" xfId="0" applyNumberFormat="1" applyFont="1" applyBorder="1" applyAlignment="1" applyProtection="1">
      <alignment horizontal="center" vertical="center"/>
      <protection hidden="1"/>
    </xf>
    <xf numFmtId="0" fontId="19" fillId="0" borderId="105" xfId="0" applyFont="1" applyBorder="1" applyAlignment="1" applyProtection="1">
      <alignment horizontal="left" vertical="center" wrapText="1"/>
      <protection hidden="1"/>
    </xf>
    <xf numFmtId="0" fontId="19" fillId="0" borderId="72" xfId="0" applyFont="1" applyBorder="1" applyAlignment="1" applyProtection="1">
      <alignment horizontal="left" vertical="center" wrapText="1"/>
      <protection hidden="1"/>
    </xf>
    <xf numFmtId="0" fontId="19" fillId="0" borderId="61" xfId="0" applyFont="1" applyBorder="1" applyAlignment="1" applyProtection="1">
      <alignment horizontal="center" vertical="center" wrapText="1"/>
      <protection hidden="1"/>
    </xf>
    <xf numFmtId="0" fontId="19" fillId="0" borderId="102" xfId="0" applyFont="1" applyBorder="1" applyAlignment="1" applyProtection="1">
      <alignment horizontal="center" vertical="center" wrapText="1"/>
      <protection hidden="1"/>
    </xf>
    <xf numFmtId="0" fontId="19" fillId="0" borderId="106" xfId="0" applyFont="1" applyBorder="1" applyAlignment="1" applyProtection="1">
      <alignment horizontal="center" vertical="center" wrapText="1"/>
      <protection hidden="1"/>
    </xf>
    <xf numFmtId="0" fontId="19" fillId="0" borderId="107"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70" xfId="0" applyFont="1" applyBorder="1" applyAlignment="1" applyProtection="1">
      <alignment horizontal="center" vertical="center" wrapText="1"/>
      <protection hidden="1"/>
    </xf>
    <xf numFmtId="0" fontId="19" fillId="0" borderId="66" xfId="0" applyFont="1" applyBorder="1" applyAlignment="1" applyProtection="1">
      <alignment horizontal="center" vertical="center" wrapText="1"/>
      <protection hidden="1"/>
    </xf>
    <xf numFmtId="0" fontId="19" fillId="0" borderId="69" xfId="0" applyFont="1" applyBorder="1" applyAlignment="1" applyProtection="1">
      <alignment horizontal="center" vertical="center" wrapText="1"/>
      <protection hidden="1"/>
    </xf>
    <xf numFmtId="0" fontId="40" fillId="4" borderId="0" xfId="0" applyFont="1" applyFill="1" applyAlignment="1" applyProtection="1">
      <alignment horizontal="left" vertical="center"/>
      <protection hidden="1"/>
    </xf>
    <xf numFmtId="0" fontId="19" fillId="0" borderId="109"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67"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68" xfId="0" applyBorder="1" applyAlignment="1" applyProtection="1">
      <alignment/>
      <protection hidden="1"/>
    </xf>
    <xf numFmtId="0" fontId="19" fillId="0" borderId="0"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187" fontId="19" fillId="0" borderId="39" xfId="0" applyNumberFormat="1" applyFont="1" applyBorder="1" applyAlignment="1" applyProtection="1">
      <alignment horizontal="center" vertical="center"/>
      <protection hidden="1"/>
    </xf>
    <xf numFmtId="187" fontId="19" fillId="0" borderId="62" xfId="0" applyNumberFormat="1" applyFont="1" applyBorder="1" applyAlignment="1" applyProtection="1">
      <alignment horizontal="center" vertical="center"/>
      <protection hidden="1"/>
    </xf>
    <xf numFmtId="187" fontId="19" fillId="0" borderId="54" xfId="0" applyNumberFormat="1" applyFont="1" applyBorder="1" applyAlignment="1" applyProtection="1">
      <alignment horizontal="center" vertical="center"/>
      <protection hidden="1"/>
    </xf>
    <xf numFmtId="0" fontId="19" fillId="0" borderId="47" xfId="0" applyFont="1" applyBorder="1" applyAlignment="1" applyProtection="1">
      <alignment horizontal="center" vertical="center" wrapText="1"/>
      <protection hidden="1"/>
    </xf>
    <xf numFmtId="187" fontId="19" fillId="0" borderId="15" xfId="0" applyNumberFormat="1" applyFont="1" applyBorder="1" applyAlignment="1" applyProtection="1">
      <alignment horizontal="center" vertical="center"/>
      <protection hidden="1"/>
    </xf>
    <xf numFmtId="0" fontId="19" fillId="0" borderId="1"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65" xfId="0" applyFont="1" applyBorder="1" applyAlignment="1" applyProtection="1">
      <alignment horizontal="center" vertical="center" wrapText="1"/>
      <protection hidden="1"/>
    </xf>
    <xf numFmtId="187" fontId="19" fillId="0" borderId="6" xfId="0" applyNumberFormat="1" applyFont="1" applyBorder="1" applyAlignment="1" applyProtection="1">
      <alignment horizontal="center" vertical="center"/>
      <protection hidden="1"/>
    </xf>
    <xf numFmtId="0" fontId="19" fillId="0" borderId="61" xfId="0" applyFont="1" applyBorder="1" applyAlignment="1" applyProtection="1">
      <alignment horizontal="left" vertical="center" wrapText="1"/>
      <protection hidden="1"/>
    </xf>
    <xf numFmtId="0" fontId="19" fillId="0" borderId="65" xfId="0" applyFont="1" applyBorder="1" applyAlignment="1" applyProtection="1">
      <alignment horizontal="left" vertical="center" wrapText="1"/>
      <protection hidden="1"/>
    </xf>
    <xf numFmtId="0" fontId="19" fillId="0" borderId="47" xfId="0" applyFont="1" applyBorder="1" applyAlignment="1" applyProtection="1">
      <alignment horizontal="left" vertical="center" wrapText="1"/>
      <protection hidden="1"/>
    </xf>
    <xf numFmtId="0" fontId="19" fillId="0" borderId="39" xfId="0" applyFont="1" applyBorder="1" applyAlignment="1" applyProtection="1">
      <alignment horizontal="center" vertical="center" wrapText="1"/>
      <protection hidden="1"/>
    </xf>
    <xf numFmtId="0" fontId="19" fillId="0" borderId="62" xfId="0" applyFont="1" applyBorder="1" applyAlignment="1" applyProtection="1">
      <alignment horizontal="center" vertical="center" wrapText="1"/>
      <protection hidden="1"/>
    </xf>
    <xf numFmtId="0" fontId="19" fillId="0" borderId="1" xfId="0" applyFont="1" applyBorder="1" applyAlignment="1" applyProtection="1">
      <alignment horizontal="center" wrapText="1"/>
      <protection hidden="1"/>
    </xf>
    <xf numFmtId="0" fontId="19" fillId="0" borderId="2" xfId="0" applyFont="1" applyBorder="1" applyAlignment="1" applyProtection="1">
      <alignment horizontal="center" wrapText="1"/>
      <protection hidden="1"/>
    </xf>
    <xf numFmtId="0" fontId="19" fillId="0" borderId="10" xfId="0" applyFont="1" applyBorder="1" applyAlignment="1" applyProtection="1">
      <alignment horizontal="center" wrapText="1"/>
      <protection hidden="1"/>
    </xf>
    <xf numFmtId="0" fontId="19" fillId="0" borderId="6" xfId="0" applyFont="1" applyBorder="1" applyAlignment="1" applyProtection="1">
      <alignment horizontal="center" wrapText="1"/>
      <protection hidden="1"/>
    </xf>
    <xf numFmtId="0" fontId="19" fillId="0" borderId="0" xfId="0" applyFont="1" applyBorder="1" applyAlignment="1" applyProtection="1">
      <alignment horizontal="center" wrapText="1"/>
      <protection hidden="1"/>
    </xf>
    <xf numFmtId="0" fontId="19" fillId="0" borderId="75" xfId="0" applyFont="1" applyBorder="1" applyAlignment="1" applyProtection="1">
      <alignment horizontal="center" wrapText="1"/>
      <protection hidden="1"/>
    </xf>
    <xf numFmtId="2" fontId="7" fillId="0" borderId="5" xfId="0" applyNumberFormat="1" applyFont="1" applyFill="1" applyBorder="1" applyAlignment="1" applyProtection="1">
      <alignment horizontal="center" vertical="center"/>
      <protection hidden="1"/>
    </xf>
    <xf numFmtId="2" fontId="7" fillId="0" borderId="13" xfId="0" applyNumberFormat="1" applyFont="1" applyFill="1" applyBorder="1" applyAlignment="1" applyProtection="1">
      <alignment horizontal="center" vertical="center"/>
      <protection hidden="1"/>
    </xf>
    <xf numFmtId="0" fontId="7" fillId="4" borderId="2" xfId="0" applyFont="1" applyFill="1" applyBorder="1" applyAlignment="1" applyProtection="1">
      <alignment horizontal="center"/>
      <protection hidden="1"/>
    </xf>
    <xf numFmtId="0" fontId="7" fillId="4" borderId="2" xfId="0" applyFont="1" applyFill="1" applyBorder="1" applyAlignment="1" applyProtection="1">
      <alignment horizontal="center" vertical="center"/>
      <protection hidden="1"/>
    </xf>
    <xf numFmtId="0" fontId="19" fillId="4" borderId="0" xfId="0" applyFont="1" applyFill="1" applyAlignment="1" applyProtection="1">
      <alignment horizontal="center" vertical="center"/>
      <protection hidden="1"/>
    </xf>
    <xf numFmtId="0" fontId="19" fillId="2" borderId="0" xfId="0" applyFont="1" applyFill="1" applyAlignment="1" applyProtection="1">
      <alignment horizontal="center" vertical="center" wrapText="1"/>
      <protection hidden="1"/>
    </xf>
    <xf numFmtId="0" fontId="19" fillId="2" borderId="0" xfId="0" applyFont="1" applyFill="1" applyAlignment="1" applyProtection="1">
      <alignment horizontal="center" vertical="center"/>
      <protection hidden="1"/>
    </xf>
    <xf numFmtId="0" fontId="19" fillId="6"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19" fillId="6" borderId="0" xfId="0" applyFont="1" applyFill="1" applyAlignment="1" applyProtection="1">
      <alignment horizontal="center" vertical="center"/>
      <protection hidden="1"/>
    </xf>
    <xf numFmtId="0" fontId="19" fillId="4" borderId="0" xfId="0" applyFont="1" applyFill="1" applyAlignment="1" applyProtection="1">
      <alignment horizontal="center" vertical="center" wrapText="1"/>
      <protection hidden="1"/>
    </xf>
    <xf numFmtId="0" fontId="6" fillId="0" borderId="0" xfId="0" applyFont="1" applyAlignment="1" applyProtection="1" quotePrefix="1">
      <alignment horizontal="center" vertical="center"/>
      <protection hidden="1"/>
    </xf>
    <xf numFmtId="219" fontId="6" fillId="0" borderId="19" xfId="0" applyNumberFormat="1" applyFont="1" applyBorder="1" applyAlignment="1" applyProtection="1">
      <alignment horizontal="center" vertical="center"/>
      <protection hidden="1"/>
    </xf>
    <xf numFmtId="219" fontId="6" fillId="0" borderId="38" xfId="0" applyNumberFormat="1" applyFont="1" applyBorder="1" applyAlignment="1" applyProtection="1">
      <alignment horizontal="center" vertical="center"/>
      <protection hidden="1"/>
    </xf>
    <xf numFmtId="220" fontId="6" fillId="0" borderId="5" xfId="0" applyNumberFormat="1" applyFont="1" applyFill="1" applyBorder="1" applyAlignment="1" applyProtection="1">
      <alignment horizontal="center" vertical="center"/>
      <protection hidden="1"/>
    </xf>
    <xf numFmtId="220" fontId="6" fillId="0" borderId="13" xfId="0" applyNumberFormat="1" applyFont="1" applyFill="1" applyBorder="1" applyAlignment="1" applyProtection="1">
      <alignment horizontal="center" vertical="center"/>
      <protection hidden="1"/>
    </xf>
    <xf numFmtId="0" fontId="28" fillId="0" borderId="6"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192" fontId="6" fillId="0" borderId="19" xfId="0" applyNumberFormat="1" applyFont="1" applyBorder="1" applyAlignment="1" applyProtection="1">
      <alignment horizontal="center" vertical="center"/>
      <protection hidden="1"/>
    </xf>
    <xf numFmtId="192" fontId="6" fillId="0" borderId="38" xfId="0" applyNumberFormat="1" applyFont="1" applyBorder="1" applyAlignment="1" applyProtection="1">
      <alignment horizontal="center" vertical="center"/>
      <protection hidden="1"/>
    </xf>
    <xf numFmtId="2" fontId="6" fillId="0" borderId="19" xfId="0" applyNumberFormat="1" applyFont="1" applyBorder="1" applyAlignment="1" applyProtection="1">
      <alignment horizontal="center" vertical="center"/>
      <protection hidden="1"/>
    </xf>
    <xf numFmtId="2" fontId="6" fillId="0" borderId="38" xfId="0" applyNumberFormat="1" applyFont="1" applyBorder="1" applyAlignment="1" applyProtection="1">
      <alignment horizontal="center" vertical="center"/>
      <protection hidden="1"/>
    </xf>
    <xf numFmtId="0" fontId="6" fillId="0" borderId="19" xfId="0" applyNumberFormat="1" applyFont="1" applyBorder="1" applyAlignment="1" applyProtection="1">
      <alignment horizontal="center" vertical="center"/>
      <protection hidden="1"/>
    </xf>
    <xf numFmtId="0" fontId="6" fillId="0" borderId="38" xfId="0" applyNumberFormat="1"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32"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0" fillId="4" borderId="32" xfId="0" applyFont="1" applyFill="1" applyBorder="1" applyAlignment="1" applyProtection="1">
      <alignment horizontal="center" vertical="center"/>
      <protection hidden="1"/>
    </xf>
    <xf numFmtId="0" fontId="25" fillId="0" borderId="81" xfId="0" applyFont="1" applyBorder="1" applyAlignment="1" applyProtection="1">
      <alignment horizontal="center" vertical="center"/>
      <protection hidden="1"/>
    </xf>
    <xf numFmtId="0" fontId="36" fillId="0" borderId="44" xfId="0" applyFont="1" applyBorder="1" applyAlignment="1" applyProtection="1">
      <alignment horizontal="center" vertical="center"/>
      <protection hidden="1"/>
    </xf>
    <xf numFmtId="0" fontId="31" fillId="0" borderId="44" xfId="0" applyFont="1" applyBorder="1" applyAlignment="1" applyProtection="1">
      <alignment horizontal="center" vertical="center"/>
      <protection hidden="1"/>
    </xf>
    <xf numFmtId="0" fontId="0" fillId="0" borderId="29" xfId="0" applyFont="1" applyBorder="1" applyAlignment="1" applyProtection="1">
      <alignment horizontal="center"/>
      <protection hidden="1"/>
    </xf>
    <xf numFmtId="0" fontId="0" fillId="0" borderId="38" xfId="0" applyFont="1" applyBorder="1" applyAlignment="1" applyProtection="1">
      <alignment horizontal="center"/>
      <protection hidden="1"/>
    </xf>
    <xf numFmtId="0" fontId="0" fillId="0" borderId="29" xfId="0" applyFont="1" applyBorder="1" applyAlignment="1" applyProtection="1" quotePrefix="1">
      <alignment horizontal="center" vertical="center"/>
      <protection hidden="1"/>
    </xf>
    <xf numFmtId="0" fontId="0" fillId="0" borderId="38" xfId="0" applyFont="1" applyBorder="1" applyAlignment="1" applyProtection="1" quotePrefix="1">
      <alignment horizontal="center" vertical="center"/>
      <protection hidden="1"/>
    </xf>
    <xf numFmtId="199" fontId="9" fillId="5" borderId="19" xfId="0" applyNumberFormat="1" applyFont="1" applyFill="1" applyBorder="1" applyAlignment="1" applyProtection="1">
      <alignment horizontal="center" vertical="center"/>
      <protection locked="0"/>
    </xf>
    <xf numFmtId="199" fontId="9" fillId="5" borderId="29" xfId="0" applyNumberFormat="1" applyFont="1" applyFill="1" applyBorder="1" applyAlignment="1" applyProtection="1">
      <alignment horizontal="center" vertical="center"/>
      <protection locked="0"/>
    </xf>
    <xf numFmtId="0" fontId="25" fillId="2" borderId="45" xfId="0" applyFont="1" applyFill="1" applyBorder="1" applyAlignment="1" applyProtection="1">
      <alignment horizontal="center" vertical="center"/>
      <protection hidden="1"/>
    </xf>
    <xf numFmtId="0" fontId="0" fillId="0" borderId="112" xfId="0"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31" fillId="2" borderId="44" xfId="0" applyFont="1" applyFill="1" applyBorder="1" applyAlignment="1" applyProtection="1">
      <alignment horizontal="center" vertical="center"/>
      <protection hidden="1"/>
    </xf>
    <xf numFmtId="0" fontId="22" fillId="0" borderId="44" xfId="0" applyFont="1" applyBorder="1" applyAlignment="1" applyProtection="1">
      <alignment horizontal="center" vertical="center"/>
      <protection hidden="1"/>
    </xf>
    <xf numFmtId="0" fontId="0" fillId="0" borderId="112" xfId="0" applyBorder="1" applyAlignment="1" applyProtection="1" quotePrefix="1">
      <alignment horizontal="center" vertical="center" wrapText="1"/>
      <protection hidden="1"/>
    </xf>
    <xf numFmtId="0" fontId="0" fillId="0" borderId="91" xfId="0" applyBorder="1" applyAlignment="1" applyProtection="1" quotePrefix="1">
      <alignment horizontal="center" vertical="center" wrapText="1"/>
      <protection hidden="1"/>
    </xf>
    <xf numFmtId="0" fontId="0" fillId="0" borderId="0" xfId="0" applyFont="1" applyAlignment="1" applyProtection="1">
      <alignment horizontal="right" vertical="center"/>
      <protection hidden="1"/>
    </xf>
    <xf numFmtId="0" fontId="0" fillId="0" borderId="33" xfId="0" applyFont="1" applyBorder="1" applyAlignment="1" applyProtection="1" quotePrefix="1">
      <alignment horizontal="center" vertical="center"/>
      <protection hidden="1"/>
    </xf>
    <xf numFmtId="199" fontId="9" fillId="5" borderId="38" xfId="0" applyNumberFormat="1" applyFont="1" applyFill="1" applyBorder="1" applyAlignment="1" applyProtection="1">
      <alignment horizontal="center" vertical="center"/>
      <protection locked="0"/>
    </xf>
    <xf numFmtId="0" fontId="7" fillId="0" borderId="43" xfId="0" applyFont="1" applyBorder="1" applyAlignment="1" applyProtection="1">
      <alignment horizontal="center"/>
      <protection hidden="1"/>
    </xf>
    <xf numFmtId="0" fontId="7" fillId="0" borderId="113" xfId="0" applyFont="1" applyBorder="1" applyAlignment="1" applyProtection="1">
      <alignment horizontal="center"/>
      <protection hidden="1"/>
    </xf>
    <xf numFmtId="197" fontId="6" fillId="9" borderId="18" xfId="0" applyNumberFormat="1" applyFont="1" applyFill="1" applyBorder="1" applyAlignment="1" applyProtection="1">
      <alignment horizontal="center" vertical="center"/>
      <protection hidden="1"/>
    </xf>
    <xf numFmtId="197" fontId="6" fillId="9" borderId="28" xfId="0" applyNumberFormat="1" applyFont="1" applyFill="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114" xfId="0" applyFont="1" applyBorder="1" applyAlignment="1" applyProtection="1">
      <alignment horizontal="center" vertical="center"/>
      <protection hidden="1"/>
    </xf>
    <xf numFmtId="0" fontId="0" fillId="0" borderId="28" xfId="0" applyFont="1" applyBorder="1" applyAlignment="1" applyProtection="1" quotePrefix="1">
      <alignment horizontal="center" vertical="center"/>
      <protection hidden="1"/>
    </xf>
    <xf numFmtId="0" fontId="0" fillId="0" borderId="26" xfId="0" applyFont="1" applyFill="1" applyBorder="1" applyAlignment="1" applyProtection="1">
      <alignment horizontal="left" vertical="center"/>
      <protection hidden="1"/>
    </xf>
    <xf numFmtId="0" fontId="0" fillId="0" borderId="33" xfId="0" applyFont="1" applyFill="1" applyBorder="1" applyAlignment="1" applyProtection="1">
      <alignment horizontal="left" vertical="center"/>
      <protection hidden="1"/>
    </xf>
    <xf numFmtId="0" fontId="6" fillId="2" borderId="0" xfId="0" applyFont="1" applyFill="1" applyAlignment="1" applyProtection="1" quotePrefix="1">
      <alignment horizontal="left" vertical="center"/>
      <protection hidden="1"/>
    </xf>
    <xf numFmtId="0" fontId="34" fillId="2" borderId="45" xfId="0" applyFont="1" applyFill="1" applyBorder="1" applyAlignment="1" applyProtection="1">
      <alignment horizontal="center" vertical="center"/>
      <protection hidden="1"/>
    </xf>
    <xf numFmtId="0" fontId="33" fillId="0" borderId="45" xfId="0" applyFont="1" applyFill="1" applyBorder="1" applyAlignment="1" applyProtection="1">
      <alignment horizontal="center" vertical="center"/>
      <protection hidden="1"/>
    </xf>
    <xf numFmtId="0" fontId="12" fillId="2" borderId="45" xfId="0" applyFont="1" applyFill="1" applyBorder="1" applyAlignment="1" applyProtection="1">
      <alignment horizontal="center" vertical="center"/>
      <protection hidden="1"/>
    </xf>
    <xf numFmtId="0" fontId="9" fillId="5" borderId="17" xfId="0" applyNumberFormat="1" applyFont="1" applyFill="1" applyBorder="1" applyAlignment="1" applyProtection="1">
      <alignment horizontal="center" vertical="center"/>
      <protection locked="0"/>
    </xf>
    <xf numFmtId="0" fontId="9" fillId="5" borderId="40" xfId="0" applyNumberFormat="1" applyFont="1" applyFill="1" applyBorder="1" applyAlignment="1" applyProtection="1">
      <alignment horizontal="center" vertical="center"/>
      <protection locked="0"/>
    </xf>
    <xf numFmtId="0" fontId="6" fillId="9" borderId="5" xfId="0" applyNumberFormat="1" applyFont="1" applyFill="1" applyBorder="1" applyAlignment="1" applyProtection="1">
      <alignment horizontal="left" vertical="center"/>
      <protection hidden="1"/>
    </xf>
    <xf numFmtId="0" fontId="6" fillId="9" borderId="8" xfId="0" applyNumberFormat="1" applyFont="1" applyFill="1" applyBorder="1" applyAlignment="1" applyProtection="1">
      <alignment horizontal="left" vertical="center"/>
      <protection hidden="1"/>
    </xf>
    <xf numFmtId="0" fontId="6" fillId="9" borderId="40" xfId="0" applyNumberFormat="1" applyFont="1" applyFill="1" applyBorder="1" applyAlignment="1" applyProtection="1">
      <alignment horizontal="left" vertical="center"/>
      <protection hidden="1"/>
    </xf>
    <xf numFmtId="207" fontId="9" fillId="5" borderId="5" xfId="0" applyNumberFormat="1" applyFont="1" applyFill="1" applyBorder="1" applyAlignment="1" applyProtection="1">
      <alignment horizontal="center" vertical="center"/>
      <protection locked="0"/>
    </xf>
    <xf numFmtId="207" fontId="9" fillId="5" borderId="40" xfId="0" applyNumberFormat="1" applyFont="1" applyFill="1" applyBorder="1" applyAlignment="1" applyProtection="1">
      <alignment horizontal="center" vertical="center"/>
      <protection locked="0"/>
    </xf>
    <xf numFmtId="197" fontId="6" fillId="9" borderId="20" xfId="0" applyNumberFormat="1"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7" fillId="0" borderId="2" xfId="0" applyFont="1" applyBorder="1" applyAlignment="1" applyProtection="1">
      <alignment horizontal="center"/>
      <protection hidden="1"/>
    </xf>
    <xf numFmtId="0" fontId="0" fillId="4" borderId="22" xfId="0" applyFont="1" applyFill="1" applyBorder="1" applyAlignment="1" applyProtection="1">
      <alignment horizontal="center" vertical="center"/>
      <protection hidden="1"/>
    </xf>
    <xf numFmtId="0" fontId="6" fillId="2" borderId="61" xfId="0" applyFont="1" applyFill="1" applyBorder="1" applyAlignment="1" applyProtection="1">
      <alignment horizontal="center" vertical="center"/>
      <protection hidden="1"/>
    </xf>
    <xf numFmtId="0" fontId="6" fillId="2" borderId="47"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43" xfId="0" applyFont="1" applyBorder="1" applyAlignment="1" applyProtection="1">
      <alignment horizontal="left" vertical="center"/>
      <protection hidden="1"/>
    </xf>
    <xf numFmtId="0" fontId="6" fillId="0" borderId="113" xfId="0" applyFont="1" applyBorder="1" applyAlignment="1" applyProtection="1">
      <alignment horizontal="left" vertical="center"/>
      <protection hidden="1"/>
    </xf>
    <xf numFmtId="0" fontId="0" fillId="0" borderId="77" xfId="0" applyFont="1" applyBorder="1" applyAlignment="1" applyProtection="1" quotePrefix="1">
      <alignment horizontal="left" vertical="center" wrapText="1"/>
      <protection hidden="1"/>
    </xf>
    <xf numFmtId="0" fontId="0" fillId="0" borderId="81" xfId="0" applyFont="1" applyBorder="1" applyAlignment="1" applyProtection="1" quotePrefix="1">
      <alignment horizontal="left" vertical="center" wrapText="1"/>
      <protection hidden="1"/>
    </xf>
    <xf numFmtId="0" fontId="0" fillId="0" borderId="78" xfId="0" applyFont="1" applyBorder="1" applyAlignment="1" applyProtection="1" quotePrefix="1">
      <alignment horizontal="left" vertical="center"/>
      <protection hidden="1"/>
    </xf>
    <xf numFmtId="0" fontId="0" fillId="0" borderId="79" xfId="0" applyFont="1" applyBorder="1" applyAlignment="1" applyProtection="1" quotePrefix="1">
      <alignment horizontal="left" vertical="center"/>
      <protection hidden="1"/>
    </xf>
    <xf numFmtId="0" fontId="6" fillId="0" borderId="14" xfId="0" applyFont="1" applyBorder="1" applyAlignment="1" applyProtection="1">
      <alignment horizontal="left" vertical="center"/>
      <protection hidden="1"/>
    </xf>
    <xf numFmtId="0" fontId="6" fillId="0" borderId="80" xfId="0" applyFont="1" applyBorder="1" applyAlignment="1" applyProtection="1">
      <alignment horizontal="left" vertical="center"/>
      <protection hidden="1"/>
    </xf>
    <xf numFmtId="0" fontId="0" fillId="0" borderId="77" xfId="0" applyFont="1" applyBorder="1" applyAlignment="1" applyProtection="1">
      <alignment horizontal="left" vertical="center"/>
      <protection hidden="1"/>
    </xf>
    <xf numFmtId="0" fontId="0" fillId="0" borderId="81" xfId="0" applyFont="1" applyBorder="1" applyAlignment="1" applyProtection="1">
      <alignment horizontal="left" vertical="center"/>
      <protection hidden="1"/>
    </xf>
    <xf numFmtId="0" fontId="0" fillId="0" borderId="78" xfId="0" applyFont="1" applyBorder="1" applyAlignment="1" applyProtection="1">
      <alignment horizontal="left" vertical="center"/>
      <protection hidden="1"/>
    </xf>
    <xf numFmtId="0" fontId="0" fillId="0" borderId="6" xfId="0" applyFont="1" applyBorder="1" applyAlignment="1" applyProtection="1">
      <alignment horizontal="left" vertical="center" wrapText="1"/>
      <protection hidden="1"/>
    </xf>
    <xf numFmtId="0" fontId="0" fillId="0" borderId="81" xfId="0" applyFont="1" applyBorder="1" applyAlignment="1" applyProtection="1">
      <alignment horizontal="left" vertical="center" wrapText="1"/>
      <protection hidden="1"/>
    </xf>
    <xf numFmtId="0" fontId="0" fillId="0" borderId="6" xfId="0" applyFont="1" applyBorder="1" applyAlignment="1" applyProtection="1" quotePrefix="1">
      <alignment horizontal="left" vertical="center" wrapText="1"/>
      <protection hidden="1"/>
    </xf>
    <xf numFmtId="0" fontId="0" fillId="0" borderId="6" xfId="0" applyFont="1" applyBorder="1" applyAlignment="1" applyProtection="1">
      <alignment horizontal="left" vertical="top" wrapText="1"/>
      <protection hidden="1"/>
    </xf>
    <xf numFmtId="0" fontId="0" fillId="0" borderId="81" xfId="0" applyFont="1" applyBorder="1" applyAlignment="1" applyProtection="1">
      <alignment horizontal="left" vertical="top" wrapText="1"/>
      <protection hidden="1"/>
    </xf>
    <xf numFmtId="0" fontId="0" fillId="0" borderId="77" xfId="0" applyFont="1" applyBorder="1" applyAlignment="1" applyProtection="1" quotePrefix="1">
      <alignment horizontal="left" vertical="center"/>
      <protection hidden="1"/>
    </xf>
    <xf numFmtId="0" fontId="0" fillId="0" borderId="81" xfId="0" applyFont="1" applyBorder="1" applyAlignment="1" applyProtection="1" quotePrefix="1">
      <alignment horizontal="left" vertical="center"/>
      <protection hidden="1"/>
    </xf>
    <xf numFmtId="0" fontId="0" fillId="2" borderId="0" xfId="0" applyFont="1" applyFill="1" applyAlignment="1" applyProtection="1">
      <alignment vertical="center" wrapText="1"/>
      <protection hidden="1"/>
    </xf>
    <xf numFmtId="0" fontId="0" fillId="6" borderId="0" xfId="0" applyFont="1" applyFill="1" applyAlignment="1" applyProtection="1">
      <alignment horizontal="left" vertical="center" wrapText="1"/>
      <protection hidden="1"/>
    </xf>
    <xf numFmtId="0" fontId="0" fillId="4" borderId="0" xfId="0" applyFont="1" applyFill="1" applyAlignment="1" applyProtection="1">
      <alignment horizontal="left" vertical="center" wrapText="1"/>
      <protection hidden="1"/>
    </xf>
    <xf numFmtId="0" fontId="0" fillId="2" borderId="0" xfId="0" applyFont="1" applyFill="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34" xfId="0" applyFont="1" applyBorder="1" applyAlignment="1" applyProtection="1">
      <alignment horizontal="left" vertical="center" wrapText="1"/>
      <protection hidden="1"/>
    </xf>
    <xf numFmtId="0" fontId="0" fillId="0" borderId="15" xfId="0" applyFont="1" applyBorder="1" applyAlignment="1" applyProtection="1">
      <alignment horizontal="left" vertical="center" wrapText="1"/>
      <protection hidden="1"/>
    </xf>
    <xf numFmtId="0" fontId="0" fillId="0" borderId="111" xfId="0" applyFont="1" applyBorder="1" applyAlignment="1" applyProtection="1">
      <alignment horizontal="left" vertical="center" wrapText="1"/>
      <protection hidden="1"/>
    </xf>
    <xf numFmtId="0" fontId="0" fillId="0" borderId="0" xfId="0" applyFont="1" applyAlignment="1" applyProtection="1">
      <alignmen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quotePrefix="1">
      <alignment horizontal="left" vertical="center" wrapText="1"/>
      <protection hidden="1"/>
    </xf>
    <xf numFmtId="0" fontId="7" fillId="0" borderId="0" xfId="0" applyFont="1" applyFill="1" applyAlignment="1" applyProtection="1">
      <alignment horizontal="left" vertical="center" wrapText="1"/>
      <protection hidden="1"/>
    </xf>
    <xf numFmtId="0" fontId="6" fillId="2" borderId="61" xfId="0" applyFont="1" applyFill="1" applyBorder="1" applyAlignment="1" applyProtection="1">
      <alignment horizontal="center" vertical="center"/>
      <protection hidden="1"/>
    </xf>
    <xf numFmtId="0" fontId="6" fillId="2" borderId="47" xfId="0" applyFont="1" applyFill="1" applyBorder="1" applyAlignment="1" applyProtection="1">
      <alignment horizontal="center" vertical="center"/>
      <protection hidden="1"/>
    </xf>
    <xf numFmtId="0" fontId="0" fillId="5" borderId="0" xfId="0" applyFont="1" applyFill="1" applyAlignment="1" applyProtection="1">
      <alignment horizontal="left" vertical="center"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emf" /><Relationship Id="rId7" Type="http://schemas.openxmlformats.org/officeDocument/2006/relationships/image" Target="../media/image9.wmf" /><Relationship Id="rId8" Type="http://schemas.openxmlformats.org/officeDocument/2006/relationships/image" Target="../media/image10.wmf" /><Relationship Id="rId9" Type="http://schemas.openxmlformats.org/officeDocument/2006/relationships/image" Target="../media/image11.wmf" /><Relationship Id="rId10" Type="http://schemas.openxmlformats.org/officeDocument/2006/relationships/image" Target="../media/image12.wmf" /><Relationship Id="rId11" Type="http://schemas.openxmlformats.org/officeDocument/2006/relationships/image" Target="../media/image13.wmf" /><Relationship Id="rId12" Type="http://schemas.openxmlformats.org/officeDocument/2006/relationships/image" Target="../media/image14.wmf" /><Relationship Id="rId13" Type="http://schemas.openxmlformats.org/officeDocument/2006/relationships/image" Target="../media/image15.wmf" /><Relationship Id="rId14" Type="http://schemas.openxmlformats.org/officeDocument/2006/relationships/image" Target="../media/image16.wmf" /><Relationship Id="rId15" Type="http://schemas.openxmlformats.org/officeDocument/2006/relationships/image" Target="../media/image17.wmf" /><Relationship Id="rId16" Type="http://schemas.openxmlformats.org/officeDocument/2006/relationships/image" Target="../media/image18.wmf" /><Relationship Id="rId17" Type="http://schemas.openxmlformats.org/officeDocument/2006/relationships/image" Target="../media/image19.wmf" /><Relationship Id="rId18" Type="http://schemas.openxmlformats.org/officeDocument/2006/relationships/image" Target="../media/image20.wmf" /><Relationship Id="rId19" Type="http://schemas.openxmlformats.org/officeDocument/2006/relationships/image" Target="../media/image21.wmf" /><Relationship Id="rId20" Type="http://schemas.openxmlformats.org/officeDocument/2006/relationships/image" Target="../media/image22.wmf" /><Relationship Id="rId21" Type="http://schemas.openxmlformats.org/officeDocument/2006/relationships/image" Target="../media/image23.wmf" /><Relationship Id="rId22" Type="http://schemas.openxmlformats.org/officeDocument/2006/relationships/image" Target="../media/image24.wmf" /><Relationship Id="rId23" Type="http://schemas.openxmlformats.org/officeDocument/2006/relationships/image" Target="../media/image25.wmf" /><Relationship Id="rId24" Type="http://schemas.openxmlformats.org/officeDocument/2006/relationships/image" Target="../media/image26.wmf" /><Relationship Id="rId25" Type="http://schemas.openxmlformats.org/officeDocument/2006/relationships/image" Target="../media/image27.wmf" /><Relationship Id="rId26" Type="http://schemas.openxmlformats.org/officeDocument/2006/relationships/image" Target="../media/image28.wmf" /><Relationship Id="rId27" Type="http://schemas.openxmlformats.org/officeDocument/2006/relationships/image" Target="../media/image29.wmf" /><Relationship Id="rId28" Type="http://schemas.openxmlformats.org/officeDocument/2006/relationships/image" Target="../media/image30.wmf" /><Relationship Id="rId29" Type="http://schemas.openxmlformats.org/officeDocument/2006/relationships/image" Target="../media/image31.wmf" /><Relationship Id="rId30" Type="http://schemas.openxmlformats.org/officeDocument/2006/relationships/image" Target="../media/image32.wmf" /><Relationship Id="rId31" Type="http://schemas.openxmlformats.org/officeDocument/2006/relationships/image" Target="../media/image33.wmf" /><Relationship Id="rId32" Type="http://schemas.openxmlformats.org/officeDocument/2006/relationships/image" Target="../media/image34.wmf" /><Relationship Id="rId33" Type="http://schemas.openxmlformats.org/officeDocument/2006/relationships/image" Target="../media/image35.wmf" /><Relationship Id="rId34" Type="http://schemas.openxmlformats.org/officeDocument/2006/relationships/image" Target="../media/image36.wmf" /><Relationship Id="rId35" Type="http://schemas.openxmlformats.org/officeDocument/2006/relationships/image" Target="../media/image37.wmf" /><Relationship Id="rId36" Type="http://schemas.openxmlformats.org/officeDocument/2006/relationships/image" Target="../media/image38.wmf" /><Relationship Id="rId37" Type="http://schemas.openxmlformats.org/officeDocument/2006/relationships/image" Target="../media/image39.wmf" /><Relationship Id="rId38" Type="http://schemas.openxmlformats.org/officeDocument/2006/relationships/image" Target="../media/image40.wmf" /><Relationship Id="rId39" Type="http://schemas.openxmlformats.org/officeDocument/2006/relationships/image" Target="../media/image41.wmf" /><Relationship Id="rId40" Type="http://schemas.openxmlformats.org/officeDocument/2006/relationships/image" Target="../media/image42.wmf" /><Relationship Id="rId41" Type="http://schemas.openxmlformats.org/officeDocument/2006/relationships/image" Target="../media/image43.wmf" /><Relationship Id="rId42" Type="http://schemas.openxmlformats.org/officeDocument/2006/relationships/image" Target="../media/image44.wmf" /><Relationship Id="rId43" Type="http://schemas.openxmlformats.org/officeDocument/2006/relationships/image" Target="../media/image45.wmf" /><Relationship Id="rId44" Type="http://schemas.openxmlformats.org/officeDocument/2006/relationships/image" Target="../media/image46.wmf" /><Relationship Id="rId45" Type="http://schemas.openxmlformats.org/officeDocument/2006/relationships/image" Target="../media/image47.wmf" /><Relationship Id="rId46" Type="http://schemas.openxmlformats.org/officeDocument/2006/relationships/image" Target="../media/image48.wmf" /><Relationship Id="rId47" Type="http://schemas.openxmlformats.org/officeDocument/2006/relationships/image" Target="../media/image49.wmf" /><Relationship Id="rId48" Type="http://schemas.openxmlformats.org/officeDocument/2006/relationships/image" Target="../media/image50.wmf" /><Relationship Id="rId49" Type="http://schemas.openxmlformats.org/officeDocument/2006/relationships/image" Target="../media/image51.wmf" /><Relationship Id="rId50" Type="http://schemas.openxmlformats.org/officeDocument/2006/relationships/image" Target="../media/image2.wmf" /><Relationship Id="rId51" Type="http://schemas.openxmlformats.org/officeDocument/2006/relationships/image" Target="../media/image52.wmf" /><Relationship Id="rId52" Type="http://schemas.openxmlformats.org/officeDocument/2006/relationships/image" Target="../media/image53.wmf" /><Relationship Id="rId53" Type="http://schemas.openxmlformats.org/officeDocument/2006/relationships/image" Target="../media/image54.wmf" /><Relationship Id="rId54" Type="http://schemas.openxmlformats.org/officeDocument/2006/relationships/image" Target="../media/image55.wmf" /><Relationship Id="rId55" Type="http://schemas.openxmlformats.org/officeDocument/2006/relationships/image" Target="../media/image56.wmf" /><Relationship Id="rId56" Type="http://schemas.openxmlformats.org/officeDocument/2006/relationships/image" Target="../media/image57.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emf" /><Relationship Id="rId7" Type="http://schemas.openxmlformats.org/officeDocument/2006/relationships/image" Target="../media/image9.wmf" /><Relationship Id="rId8" Type="http://schemas.openxmlformats.org/officeDocument/2006/relationships/image" Target="../media/image10.wmf" /><Relationship Id="rId9" Type="http://schemas.openxmlformats.org/officeDocument/2006/relationships/image" Target="../media/image11.wmf" /><Relationship Id="rId10" Type="http://schemas.openxmlformats.org/officeDocument/2006/relationships/image" Target="../media/image12.wmf" /><Relationship Id="rId11" Type="http://schemas.openxmlformats.org/officeDocument/2006/relationships/image" Target="../media/image13.wmf" /><Relationship Id="rId12" Type="http://schemas.openxmlformats.org/officeDocument/2006/relationships/image" Target="../media/image14.wmf" /><Relationship Id="rId13" Type="http://schemas.openxmlformats.org/officeDocument/2006/relationships/image" Target="../media/image15.wmf" /><Relationship Id="rId14" Type="http://schemas.openxmlformats.org/officeDocument/2006/relationships/image" Target="../media/image16.wmf" /><Relationship Id="rId15" Type="http://schemas.openxmlformats.org/officeDocument/2006/relationships/image" Target="../media/image17.wmf" /><Relationship Id="rId16" Type="http://schemas.openxmlformats.org/officeDocument/2006/relationships/image" Target="../media/image18.wmf" /><Relationship Id="rId17" Type="http://schemas.openxmlformats.org/officeDocument/2006/relationships/image" Target="../media/image19.wmf" /><Relationship Id="rId18" Type="http://schemas.openxmlformats.org/officeDocument/2006/relationships/image" Target="../media/image20.wmf" /><Relationship Id="rId19" Type="http://schemas.openxmlformats.org/officeDocument/2006/relationships/image" Target="../media/image21.wmf" /><Relationship Id="rId20" Type="http://schemas.openxmlformats.org/officeDocument/2006/relationships/image" Target="../media/image22.wmf" /><Relationship Id="rId21" Type="http://schemas.openxmlformats.org/officeDocument/2006/relationships/image" Target="../media/image23.wmf" /><Relationship Id="rId22" Type="http://schemas.openxmlformats.org/officeDocument/2006/relationships/image" Target="../media/image24.wmf" /><Relationship Id="rId23" Type="http://schemas.openxmlformats.org/officeDocument/2006/relationships/image" Target="../media/image25.wmf" /><Relationship Id="rId24" Type="http://schemas.openxmlformats.org/officeDocument/2006/relationships/image" Target="../media/image26.wmf" /><Relationship Id="rId25" Type="http://schemas.openxmlformats.org/officeDocument/2006/relationships/image" Target="../media/image27.wmf" /><Relationship Id="rId26" Type="http://schemas.openxmlformats.org/officeDocument/2006/relationships/image" Target="../media/image28.wmf" /><Relationship Id="rId27" Type="http://schemas.openxmlformats.org/officeDocument/2006/relationships/image" Target="../media/image29.wmf" /><Relationship Id="rId28" Type="http://schemas.openxmlformats.org/officeDocument/2006/relationships/image" Target="../media/image30.wmf" /><Relationship Id="rId29" Type="http://schemas.openxmlformats.org/officeDocument/2006/relationships/image" Target="../media/image31.wmf" /><Relationship Id="rId30" Type="http://schemas.openxmlformats.org/officeDocument/2006/relationships/image" Target="../media/image32.wmf" /><Relationship Id="rId31" Type="http://schemas.openxmlformats.org/officeDocument/2006/relationships/image" Target="../media/image33.wmf" /><Relationship Id="rId32" Type="http://schemas.openxmlformats.org/officeDocument/2006/relationships/image" Target="../media/image34.wmf" /><Relationship Id="rId33" Type="http://schemas.openxmlformats.org/officeDocument/2006/relationships/image" Target="../media/image35.wmf" /><Relationship Id="rId34" Type="http://schemas.openxmlformats.org/officeDocument/2006/relationships/image" Target="../media/image36.wmf" /><Relationship Id="rId35" Type="http://schemas.openxmlformats.org/officeDocument/2006/relationships/image" Target="../media/image37.wmf" /><Relationship Id="rId36" Type="http://schemas.openxmlformats.org/officeDocument/2006/relationships/image" Target="../media/image38.wmf" /><Relationship Id="rId37" Type="http://schemas.openxmlformats.org/officeDocument/2006/relationships/image" Target="../media/image39.wmf" /><Relationship Id="rId38" Type="http://schemas.openxmlformats.org/officeDocument/2006/relationships/image" Target="../media/image40.wmf" /><Relationship Id="rId39" Type="http://schemas.openxmlformats.org/officeDocument/2006/relationships/image" Target="../media/image41.wmf" /><Relationship Id="rId40" Type="http://schemas.openxmlformats.org/officeDocument/2006/relationships/image" Target="../media/image42.wmf" /><Relationship Id="rId41" Type="http://schemas.openxmlformats.org/officeDocument/2006/relationships/image" Target="../media/image43.wmf" /><Relationship Id="rId42" Type="http://schemas.openxmlformats.org/officeDocument/2006/relationships/image" Target="../media/image44.wmf" /><Relationship Id="rId43" Type="http://schemas.openxmlformats.org/officeDocument/2006/relationships/image" Target="../media/image45.wmf" /><Relationship Id="rId44" Type="http://schemas.openxmlformats.org/officeDocument/2006/relationships/image" Target="../media/image46.wmf" /><Relationship Id="rId45" Type="http://schemas.openxmlformats.org/officeDocument/2006/relationships/image" Target="../media/image47.wmf" /><Relationship Id="rId46" Type="http://schemas.openxmlformats.org/officeDocument/2006/relationships/image" Target="../media/image48.wmf" /><Relationship Id="rId47" Type="http://schemas.openxmlformats.org/officeDocument/2006/relationships/image" Target="../media/image49.wmf" /><Relationship Id="rId48" Type="http://schemas.openxmlformats.org/officeDocument/2006/relationships/image" Target="../media/image50.wmf" /><Relationship Id="rId49" Type="http://schemas.openxmlformats.org/officeDocument/2006/relationships/image" Target="../media/image51.wmf" /><Relationship Id="rId50" Type="http://schemas.openxmlformats.org/officeDocument/2006/relationships/image" Target="../media/image2.wmf" /><Relationship Id="rId51" Type="http://schemas.openxmlformats.org/officeDocument/2006/relationships/image" Target="../media/image52.wmf" /><Relationship Id="rId52" Type="http://schemas.openxmlformats.org/officeDocument/2006/relationships/image" Target="../media/image53.wmf" /><Relationship Id="rId53" Type="http://schemas.openxmlformats.org/officeDocument/2006/relationships/image" Target="../media/image54.wmf" /><Relationship Id="rId54" Type="http://schemas.openxmlformats.org/officeDocument/2006/relationships/image" Target="../media/image55.wmf" /><Relationship Id="rId55" Type="http://schemas.openxmlformats.org/officeDocument/2006/relationships/image" Target="../media/image56.wmf" /><Relationship Id="rId56" Type="http://schemas.openxmlformats.org/officeDocument/2006/relationships/image" Target="../media/image57.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emf" /><Relationship Id="rId7" Type="http://schemas.openxmlformats.org/officeDocument/2006/relationships/image" Target="../media/image9.wmf" /><Relationship Id="rId8" Type="http://schemas.openxmlformats.org/officeDocument/2006/relationships/image" Target="../media/image10.wmf" /><Relationship Id="rId9" Type="http://schemas.openxmlformats.org/officeDocument/2006/relationships/image" Target="../media/image11.wmf" /><Relationship Id="rId10" Type="http://schemas.openxmlformats.org/officeDocument/2006/relationships/image" Target="../media/image12.wmf" /><Relationship Id="rId11" Type="http://schemas.openxmlformats.org/officeDocument/2006/relationships/image" Target="../media/image13.wmf" /><Relationship Id="rId12" Type="http://schemas.openxmlformats.org/officeDocument/2006/relationships/image" Target="../media/image14.wmf" /><Relationship Id="rId13" Type="http://schemas.openxmlformats.org/officeDocument/2006/relationships/image" Target="../media/image15.wmf" /><Relationship Id="rId14" Type="http://schemas.openxmlformats.org/officeDocument/2006/relationships/image" Target="../media/image16.wmf" /><Relationship Id="rId15" Type="http://schemas.openxmlformats.org/officeDocument/2006/relationships/image" Target="../media/image17.wmf" /><Relationship Id="rId16" Type="http://schemas.openxmlformats.org/officeDocument/2006/relationships/image" Target="../media/image18.wmf" /><Relationship Id="rId17" Type="http://schemas.openxmlformats.org/officeDocument/2006/relationships/image" Target="../media/image19.wmf" /><Relationship Id="rId18" Type="http://schemas.openxmlformats.org/officeDocument/2006/relationships/image" Target="../media/image20.wmf" /><Relationship Id="rId19" Type="http://schemas.openxmlformats.org/officeDocument/2006/relationships/image" Target="../media/image21.wmf" /><Relationship Id="rId20" Type="http://schemas.openxmlformats.org/officeDocument/2006/relationships/image" Target="../media/image22.wmf" /><Relationship Id="rId21" Type="http://schemas.openxmlformats.org/officeDocument/2006/relationships/image" Target="../media/image23.wmf" /><Relationship Id="rId22" Type="http://schemas.openxmlformats.org/officeDocument/2006/relationships/image" Target="../media/image24.wmf" /><Relationship Id="rId23" Type="http://schemas.openxmlformats.org/officeDocument/2006/relationships/image" Target="../media/image25.wmf" /><Relationship Id="rId24" Type="http://schemas.openxmlformats.org/officeDocument/2006/relationships/image" Target="../media/image26.wmf" /><Relationship Id="rId25" Type="http://schemas.openxmlformats.org/officeDocument/2006/relationships/image" Target="../media/image27.wmf" /><Relationship Id="rId26" Type="http://schemas.openxmlformats.org/officeDocument/2006/relationships/image" Target="../media/image28.wmf" /><Relationship Id="rId27" Type="http://schemas.openxmlformats.org/officeDocument/2006/relationships/image" Target="../media/image29.wmf" /><Relationship Id="rId28" Type="http://schemas.openxmlformats.org/officeDocument/2006/relationships/image" Target="../media/image30.wmf" /><Relationship Id="rId29" Type="http://schemas.openxmlformats.org/officeDocument/2006/relationships/image" Target="../media/image31.wmf" /><Relationship Id="rId30" Type="http://schemas.openxmlformats.org/officeDocument/2006/relationships/image" Target="../media/image32.wmf" /><Relationship Id="rId31" Type="http://schemas.openxmlformats.org/officeDocument/2006/relationships/image" Target="../media/image33.wmf" /><Relationship Id="rId32" Type="http://schemas.openxmlformats.org/officeDocument/2006/relationships/image" Target="../media/image34.wmf" /><Relationship Id="rId33" Type="http://schemas.openxmlformats.org/officeDocument/2006/relationships/image" Target="../media/image35.wmf" /><Relationship Id="rId34" Type="http://schemas.openxmlformats.org/officeDocument/2006/relationships/image" Target="../media/image36.wmf" /><Relationship Id="rId35" Type="http://schemas.openxmlformats.org/officeDocument/2006/relationships/image" Target="../media/image37.wmf" /><Relationship Id="rId36" Type="http://schemas.openxmlformats.org/officeDocument/2006/relationships/image" Target="../media/image38.wmf" /><Relationship Id="rId37" Type="http://schemas.openxmlformats.org/officeDocument/2006/relationships/image" Target="../media/image39.wmf" /><Relationship Id="rId38" Type="http://schemas.openxmlformats.org/officeDocument/2006/relationships/image" Target="../media/image40.wmf" /><Relationship Id="rId39" Type="http://schemas.openxmlformats.org/officeDocument/2006/relationships/image" Target="../media/image41.wmf" /><Relationship Id="rId40" Type="http://schemas.openxmlformats.org/officeDocument/2006/relationships/image" Target="../media/image42.wmf" /><Relationship Id="rId41" Type="http://schemas.openxmlformats.org/officeDocument/2006/relationships/image" Target="../media/image43.wmf" /><Relationship Id="rId42" Type="http://schemas.openxmlformats.org/officeDocument/2006/relationships/image" Target="../media/image44.wmf" /><Relationship Id="rId43" Type="http://schemas.openxmlformats.org/officeDocument/2006/relationships/image" Target="../media/image45.wmf" /><Relationship Id="rId44" Type="http://schemas.openxmlformats.org/officeDocument/2006/relationships/image" Target="../media/image46.wmf" /><Relationship Id="rId45" Type="http://schemas.openxmlformats.org/officeDocument/2006/relationships/image" Target="../media/image47.wmf" /><Relationship Id="rId46" Type="http://schemas.openxmlformats.org/officeDocument/2006/relationships/image" Target="../media/image48.wmf" /><Relationship Id="rId47" Type="http://schemas.openxmlformats.org/officeDocument/2006/relationships/image" Target="../media/image49.wmf" /><Relationship Id="rId48" Type="http://schemas.openxmlformats.org/officeDocument/2006/relationships/image" Target="../media/image50.wmf" /><Relationship Id="rId49" Type="http://schemas.openxmlformats.org/officeDocument/2006/relationships/image" Target="../media/image51.wmf" /><Relationship Id="rId50" Type="http://schemas.openxmlformats.org/officeDocument/2006/relationships/image" Target="../media/image2.wmf" /><Relationship Id="rId51" Type="http://schemas.openxmlformats.org/officeDocument/2006/relationships/image" Target="../media/image52.wmf" /><Relationship Id="rId52" Type="http://schemas.openxmlformats.org/officeDocument/2006/relationships/image" Target="../media/image53.wmf" /><Relationship Id="rId53" Type="http://schemas.openxmlformats.org/officeDocument/2006/relationships/image" Target="../media/image54.wmf" /><Relationship Id="rId54" Type="http://schemas.openxmlformats.org/officeDocument/2006/relationships/image" Target="../media/image55.wmf" /><Relationship Id="rId55" Type="http://schemas.openxmlformats.org/officeDocument/2006/relationships/image" Target="../media/image56.wmf" /><Relationship Id="rId56" Type="http://schemas.openxmlformats.org/officeDocument/2006/relationships/image" Target="../media/image57.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oleObject" Target="../embeddings/oleObject_4_13.bin" /><Relationship Id="rId15" Type="http://schemas.openxmlformats.org/officeDocument/2006/relationships/oleObject" Target="../embeddings/oleObject_4_14.bin" /><Relationship Id="rId16" Type="http://schemas.openxmlformats.org/officeDocument/2006/relationships/oleObject" Target="../embeddings/oleObject_4_15.bin" /><Relationship Id="rId17" Type="http://schemas.openxmlformats.org/officeDocument/2006/relationships/oleObject" Target="../embeddings/oleObject_4_16.bin" /><Relationship Id="rId18" Type="http://schemas.openxmlformats.org/officeDocument/2006/relationships/oleObject" Target="../embeddings/oleObject_4_17.bin" /><Relationship Id="rId19" Type="http://schemas.openxmlformats.org/officeDocument/2006/relationships/oleObject" Target="../embeddings/oleObject_4_18.bin" /><Relationship Id="rId20" Type="http://schemas.openxmlformats.org/officeDocument/2006/relationships/oleObject" Target="../embeddings/oleObject_4_19.bin" /><Relationship Id="rId21" Type="http://schemas.openxmlformats.org/officeDocument/2006/relationships/oleObject" Target="../embeddings/oleObject_4_20.bin" /><Relationship Id="rId22" Type="http://schemas.openxmlformats.org/officeDocument/2006/relationships/oleObject" Target="../embeddings/oleObject_4_21.bin" /><Relationship Id="rId23" Type="http://schemas.openxmlformats.org/officeDocument/2006/relationships/oleObject" Target="../embeddings/oleObject_4_22.bin" /><Relationship Id="rId24" Type="http://schemas.openxmlformats.org/officeDocument/2006/relationships/oleObject" Target="../embeddings/oleObject_4_23.bin" /><Relationship Id="rId25" Type="http://schemas.openxmlformats.org/officeDocument/2006/relationships/oleObject" Target="../embeddings/oleObject_4_24.bin" /><Relationship Id="rId26" Type="http://schemas.openxmlformats.org/officeDocument/2006/relationships/oleObject" Target="../embeddings/oleObject_4_25.bin" /><Relationship Id="rId27" Type="http://schemas.openxmlformats.org/officeDocument/2006/relationships/oleObject" Target="../embeddings/oleObject_4_26.bin" /><Relationship Id="rId28" Type="http://schemas.openxmlformats.org/officeDocument/2006/relationships/oleObject" Target="../embeddings/oleObject_4_27.bin" /><Relationship Id="rId29" Type="http://schemas.openxmlformats.org/officeDocument/2006/relationships/oleObject" Target="../embeddings/oleObject_4_28.bin" /><Relationship Id="rId30" Type="http://schemas.openxmlformats.org/officeDocument/2006/relationships/oleObject" Target="../embeddings/oleObject_4_29.bin" /><Relationship Id="rId31" Type="http://schemas.openxmlformats.org/officeDocument/2006/relationships/oleObject" Target="../embeddings/oleObject_4_30.bin" /><Relationship Id="rId32" Type="http://schemas.openxmlformats.org/officeDocument/2006/relationships/oleObject" Target="../embeddings/oleObject_4_31.bin" /><Relationship Id="rId33" Type="http://schemas.openxmlformats.org/officeDocument/2006/relationships/oleObject" Target="../embeddings/oleObject_4_32.bin" /><Relationship Id="rId34" Type="http://schemas.openxmlformats.org/officeDocument/2006/relationships/oleObject" Target="../embeddings/oleObject_4_33.bin" /><Relationship Id="rId35" Type="http://schemas.openxmlformats.org/officeDocument/2006/relationships/oleObject" Target="../embeddings/oleObject_4_34.bin" /><Relationship Id="rId36" Type="http://schemas.openxmlformats.org/officeDocument/2006/relationships/oleObject" Target="../embeddings/oleObject_4_35.bin" /><Relationship Id="rId37" Type="http://schemas.openxmlformats.org/officeDocument/2006/relationships/oleObject" Target="../embeddings/oleObject_4_36.bin" /><Relationship Id="rId38" Type="http://schemas.openxmlformats.org/officeDocument/2006/relationships/oleObject" Target="../embeddings/oleObject_4_37.bin" /><Relationship Id="rId39" Type="http://schemas.openxmlformats.org/officeDocument/2006/relationships/oleObject" Target="../embeddings/oleObject_4_38.bin" /><Relationship Id="rId40" Type="http://schemas.openxmlformats.org/officeDocument/2006/relationships/oleObject" Target="../embeddings/oleObject_4_39.bin" /><Relationship Id="rId41" Type="http://schemas.openxmlformats.org/officeDocument/2006/relationships/oleObject" Target="../embeddings/oleObject_4_40.bin" /><Relationship Id="rId42" Type="http://schemas.openxmlformats.org/officeDocument/2006/relationships/oleObject" Target="../embeddings/oleObject_4_41.bin" /><Relationship Id="rId43" Type="http://schemas.openxmlformats.org/officeDocument/2006/relationships/oleObject" Target="../embeddings/oleObject_4_42.bin" /><Relationship Id="rId44" Type="http://schemas.openxmlformats.org/officeDocument/2006/relationships/oleObject" Target="../embeddings/oleObject_4_43.bin" /><Relationship Id="rId45" Type="http://schemas.openxmlformats.org/officeDocument/2006/relationships/oleObject" Target="../embeddings/oleObject_4_44.bin" /><Relationship Id="rId46" Type="http://schemas.openxmlformats.org/officeDocument/2006/relationships/oleObject" Target="../embeddings/oleObject_4_45.bin" /><Relationship Id="rId47" Type="http://schemas.openxmlformats.org/officeDocument/2006/relationships/oleObject" Target="../embeddings/oleObject_4_46.bin" /><Relationship Id="rId48" Type="http://schemas.openxmlformats.org/officeDocument/2006/relationships/oleObject" Target="../embeddings/oleObject_4_47.bin" /><Relationship Id="rId49" Type="http://schemas.openxmlformats.org/officeDocument/2006/relationships/oleObject" Target="../embeddings/oleObject_4_48.bin" /><Relationship Id="rId50" Type="http://schemas.openxmlformats.org/officeDocument/2006/relationships/oleObject" Target="../embeddings/oleObject_4_49.bin" /><Relationship Id="rId51" Type="http://schemas.openxmlformats.org/officeDocument/2006/relationships/oleObject" Target="../embeddings/oleObject_4_50.bin" /><Relationship Id="rId52" Type="http://schemas.openxmlformats.org/officeDocument/2006/relationships/oleObject" Target="../embeddings/oleObject_4_51.bin" /><Relationship Id="rId53" Type="http://schemas.openxmlformats.org/officeDocument/2006/relationships/oleObject" Target="../embeddings/oleObject_4_52.bin" /><Relationship Id="rId54" Type="http://schemas.openxmlformats.org/officeDocument/2006/relationships/oleObject" Target="../embeddings/oleObject_4_53.bin" /><Relationship Id="rId55" Type="http://schemas.openxmlformats.org/officeDocument/2006/relationships/oleObject" Target="../embeddings/oleObject_4_54.bin" /><Relationship Id="rId56" Type="http://schemas.openxmlformats.org/officeDocument/2006/relationships/oleObject" Target="../embeddings/oleObject_4_55.bin" /><Relationship Id="rId57" Type="http://schemas.openxmlformats.org/officeDocument/2006/relationships/vmlDrawing" Target="../drawings/vmlDrawing2.vml" /><Relationship Id="rId5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oleObject" Target="../embeddings/oleObject_6_7.bin" /><Relationship Id="rId9" Type="http://schemas.openxmlformats.org/officeDocument/2006/relationships/oleObject" Target="../embeddings/oleObject_6_8.bin" /><Relationship Id="rId10" Type="http://schemas.openxmlformats.org/officeDocument/2006/relationships/oleObject" Target="../embeddings/oleObject_6_9.bin" /><Relationship Id="rId11" Type="http://schemas.openxmlformats.org/officeDocument/2006/relationships/oleObject" Target="../embeddings/oleObject_6_10.bin" /><Relationship Id="rId12" Type="http://schemas.openxmlformats.org/officeDocument/2006/relationships/oleObject" Target="../embeddings/oleObject_6_11.bin" /><Relationship Id="rId13" Type="http://schemas.openxmlformats.org/officeDocument/2006/relationships/oleObject" Target="../embeddings/oleObject_6_12.bin" /><Relationship Id="rId14" Type="http://schemas.openxmlformats.org/officeDocument/2006/relationships/oleObject" Target="../embeddings/oleObject_6_13.bin" /><Relationship Id="rId15" Type="http://schemas.openxmlformats.org/officeDocument/2006/relationships/oleObject" Target="../embeddings/oleObject_6_14.bin" /><Relationship Id="rId16" Type="http://schemas.openxmlformats.org/officeDocument/2006/relationships/oleObject" Target="../embeddings/oleObject_6_15.bin" /><Relationship Id="rId17" Type="http://schemas.openxmlformats.org/officeDocument/2006/relationships/oleObject" Target="../embeddings/oleObject_6_16.bin" /><Relationship Id="rId18" Type="http://schemas.openxmlformats.org/officeDocument/2006/relationships/oleObject" Target="../embeddings/oleObject_6_17.bin" /><Relationship Id="rId19" Type="http://schemas.openxmlformats.org/officeDocument/2006/relationships/oleObject" Target="../embeddings/oleObject_6_18.bin" /><Relationship Id="rId20" Type="http://schemas.openxmlformats.org/officeDocument/2006/relationships/oleObject" Target="../embeddings/oleObject_6_19.bin" /><Relationship Id="rId21" Type="http://schemas.openxmlformats.org/officeDocument/2006/relationships/oleObject" Target="../embeddings/oleObject_6_20.bin" /><Relationship Id="rId22" Type="http://schemas.openxmlformats.org/officeDocument/2006/relationships/oleObject" Target="../embeddings/oleObject_6_21.bin" /><Relationship Id="rId23" Type="http://schemas.openxmlformats.org/officeDocument/2006/relationships/oleObject" Target="../embeddings/oleObject_6_22.bin" /><Relationship Id="rId24" Type="http://schemas.openxmlformats.org/officeDocument/2006/relationships/oleObject" Target="../embeddings/oleObject_6_23.bin" /><Relationship Id="rId25" Type="http://schemas.openxmlformats.org/officeDocument/2006/relationships/oleObject" Target="../embeddings/oleObject_6_24.bin" /><Relationship Id="rId26" Type="http://schemas.openxmlformats.org/officeDocument/2006/relationships/oleObject" Target="../embeddings/oleObject_6_25.bin" /><Relationship Id="rId27" Type="http://schemas.openxmlformats.org/officeDocument/2006/relationships/oleObject" Target="../embeddings/oleObject_6_26.bin" /><Relationship Id="rId28" Type="http://schemas.openxmlformats.org/officeDocument/2006/relationships/oleObject" Target="../embeddings/oleObject_6_27.bin" /><Relationship Id="rId29" Type="http://schemas.openxmlformats.org/officeDocument/2006/relationships/oleObject" Target="../embeddings/oleObject_6_28.bin" /><Relationship Id="rId30" Type="http://schemas.openxmlformats.org/officeDocument/2006/relationships/oleObject" Target="../embeddings/oleObject_6_29.bin" /><Relationship Id="rId31" Type="http://schemas.openxmlformats.org/officeDocument/2006/relationships/oleObject" Target="../embeddings/oleObject_6_30.bin" /><Relationship Id="rId32" Type="http://schemas.openxmlformats.org/officeDocument/2006/relationships/oleObject" Target="../embeddings/oleObject_6_31.bin" /><Relationship Id="rId33" Type="http://schemas.openxmlformats.org/officeDocument/2006/relationships/oleObject" Target="../embeddings/oleObject_6_32.bin" /><Relationship Id="rId34" Type="http://schemas.openxmlformats.org/officeDocument/2006/relationships/oleObject" Target="../embeddings/oleObject_6_33.bin" /><Relationship Id="rId35" Type="http://schemas.openxmlformats.org/officeDocument/2006/relationships/oleObject" Target="../embeddings/oleObject_6_34.bin" /><Relationship Id="rId36" Type="http://schemas.openxmlformats.org/officeDocument/2006/relationships/oleObject" Target="../embeddings/oleObject_6_35.bin" /><Relationship Id="rId37" Type="http://schemas.openxmlformats.org/officeDocument/2006/relationships/oleObject" Target="../embeddings/oleObject_6_36.bin" /><Relationship Id="rId38" Type="http://schemas.openxmlformats.org/officeDocument/2006/relationships/oleObject" Target="../embeddings/oleObject_6_37.bin" /><Relationship Id="rId39" Type="http://schemas.openxmlformats.org/officeDocument/2006/relationships/oleObject" Target="../embeddings/oleObject_6_38.bin" /><Relationship Id="rId40" Type="http://schemas.openxmlformats.org/officeDocument/2006/relationships/oleObject" Target="../embeddings/oleObject_6_39.bin" /><Relationship Id="rId41" Type="http://schemas.openxmlformats.org/officeDocument/2006/relationships/oleObject" Target="../embeddings/oleObject_6_40.bin" /><Relationship Id="rId42" Type="http://schemas.openxmlformats.org/officeDocument/2006/relationships/oleObject" Target="../embeddings/oleObject_6_41.bin" /><Relationship Id="rId43" Type="http://schemas.openxmlformats.org/officeDocument/2006/relationships/oleObject" Target="../embeddings/oleObject_6_42.bin" /><Relationship Id="rId44" Type="http://schemas.openxmlformats.org/officeDocument/2006/relationships/oleObject" Target="../embeddings/oleObject_6_43.bin" /><Relationship Id="rId45" Type="http://schemas.openxmlformats.org/officeDocument/2006/relationships/oleObject" Target="../embeddings/oleObject_6_44.bin" /><Relationship Id="rId46" Type="http://schemas.openxmlformats.org/officeDocument/2006/relationships/oleObject" Target="../embeddings/oleObject_6_45.bin" /><Relationship Id="rId47" Type="http://schemas.openxmlformats.org/officeDocument/2006/relationships/oleObject" Target="../embeddings/oleObject_6_46.bin" /><Relationship Id="rId48" Type="http://schemas.openxmlformats.org/officeDocument/2006/relationships/oleObject" Target="../embeddings/oleObject_6_47.bin" /><Relationship Id="rId49" Type="http://schemas.openxmlformats.org/officeDocument/2006/relationships/oleObject" Target="../embeddings/oleObject_6_48.bin" /><Relationship Id="rId50" Type="http://schemas.openxmlformats.org/officeDocument/2006/relationships/oleObject" Target="../embeddings/oleObject_6_49.bin" /><Relationship Id="rId51" Type="http://schemas.openxmlformats.org/officeDocument/2006/relationships/oleObject" Target="../embeddings/oleObject_6_50.bin" /><Relationship Id="rId52" Type="http://schemas.openxmlformats.org/officeDocument/2006/relationships/oleObject" Target="../embeddings/oleObject_6_51.bin" /><Relationship Id="rId53" Type="http://schemas.openxmlformats.org/officeDocument/2006/relationships/oleObject" Target="../embeddings/oleObject_6_52.bin" /><Relationship Id="rId54" Type="http://schemas.openxmlformats.org/officeDocument/2006/relationships/oleObject" Target="../embeddings/oleObject_6_53.bin" /><Relationship Id="rId55" Type="http://schemas.openxmlformats.org/officeDocument/2006/relationships/oleObject" Target="../embeddings/oleObject_6_54.bin" /><Relationship Id="rId56" Type="http://schemas.openxmlformats.org/officeDocument/2006/relationships/oleObject" Target="../embeddings/oleObject_6_55.bin" /><Relationship Id="rId57" Type="http://schemas.openxmlformats.org/officeDocument/2006/relationships/vmlDrawing" Target="../drawings/vmlDrawing4.vml" /><Relationship Id="rId5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oleObject" Target="../embeddings/oleObject_8_3.bin" /><Relationship Id="rId5" Type="http://schemas.openxmlformats.org/officeDocument/2006/relationships/oleObject" Target="../embeddings/oleObject_8_4.bin" /><Relationship Id="rId6" Type="http://schemas.openxmlformats.org/officeDocument/2006/relationships/oleObject" Target="../embeddings/oleObject_8_5.bin" /><Relationship Id="rId7" Type="http://schemas.openxmlformats.org/officeDocument/2006/relationships/oleObject" Target="../embeddings/oleObject_8_6.bin" /><Relationship Id="rId8" Type="http://schemas.openxmlformats.org/officeDocument/2006/relationships/oleObject" Target="../embeddings/oleObject_8_7.bin" /><Relationship Id="rId9" Type="http://schemas.openxmlformats.org/officeDocument/2006/relationships/oleObject" Target="../embeddings/oleObject_8_8.bin" /><Relationship Id="rId10" Type="http://schemas.openxmlformats.org/officeDocument/2006/relationships/oleObject" Target="../embeddings/oleObject_8_9.bin" /><Relationship Id="rId11" Type="http://schemas.openxmlformats.org/officeDocument/2006/relationships/oleObject" Target="../embeddings/oleObject_8_10.bin" /><Relationship Id="rId12" Type="http://schemas.openxmlformats.org/officeDocument/2006/relationships/oleObject" Target="../embeddings/oleObject_8_11.bin" /><Relationship Id="rId13" Type="http://schemas.openxmlformats.org/officeDocument/2006/relationships/oleObject" Target="../embeddings/oleObject_8_12.bin" /><Relationship Id="rId14" Type="http://schemas.openxmlformats.org/officeDocument/2006/relationships/oleObject" Target="../embeddings/oleObject_8_13.bin" /><Relationship Id="rId15" Type="http://schemas.openxmlformats.org/officeDocument/2006/relationships/oleObject" Target="../embeddings/oleObject_8_14.bin" /><Relationship Id="rId16" Type="http://schemas.openxmlformats.org/officeDocument/2006/relationships/oleObject" Target="../embeddings/oleObject_8_15.bin" /><Relationship Id="rId17" Type="http://schemas.openxmlformats.org/officeDocument/2006/relationships/oleObject" Target="../embeddings/oleObject_8_16.bin" /><Relationship Id="rId18" Type="http://schemas.openxmlformats.org/officeDocument/2006/relationships/oleObject" Target="../embeddings/oleObject_8_17.bin" /><Relationship Id="rId19" Type="http://schemas.openxmlformats.org/officeDocument/2006/relationships/oleObject" Target="../embeddings/oleObject_8_18.bin" /><Relationship Id="rId20" Type="http://schemas.openxmlformats.org/officeDocument/2006/relationships/oleObject" Target="../embeddings/oleObject_8_19.bin" /><Relationship Id="rId21" Type="http://schemas.openxmlformats.org/officeDocument/2006/relationships/oleObject" Target="../embeddings/oleObject_8_20.bin" /><Relationship Id="rId22" Type="http://schemas.openxmlformats.org/officeDocument/2006/relationships/oleObject" Target="../embeddings/oleObject_8_21.bin" /><Relationship Id="rId23" Type="http://schemas.openxmlformats.org/officeDocument/2006/relationships/oleObject" Target="../embeddings/oleObject_8_22.bin" /><Relationship Id="rId24" Type="http://schemas.openxmlformats.org/officeDocument/2006/relationships/oleObject" Target="../embeddings/oleObject_8_23.bin" /><Relationship Id="rId25" Type="http://schemas.openxmlformats.org/officeDocument/2006/relationships/oleObject" Target="../embeddings/oleObject_8_24.bin" /><Relationship Id="rId26" Type="http://schemas.openxmlformats.org/officeDocument/2006/relationships/oleObject" Target="../embeddings/oleObject_8_25.bin" /><Relationship Id="rId27" Type="http://schemas.openxmlformats.org/officeDocument/2006/relationships/oleObject" Target="../embeddings/oleObject_8_26.bin" /><Relationship Id="rId28" Type="http://schemas.openxmlformats.org/officeDocument/2006/relationships/oleObject" Target="../embeddings/oleObject_8_27.bin" /><Relationship Id="rId29" Type="http://schemas.openxmlformats.org/officeDocument/2006/relationships/oleObject" Target="../embeddings/oleObject_8_28.bin" /><Relationship Id="rId30" Type="http://schemas.openxmlformats.org/officeDocument/2006/relationships/oleObject" Target="../embeddings/oleObject_8_29.bin" /><Relationship Id="rId31" Type="http://schemas.openxmlformats.org/officeDocument/2006/relationships/oleObject" Target="../embeddings/oleObject_8_30.bin" /><Relationship Id="rId32" Type="http://schemas.openxmlformats.org/officeDocument/2006/relationships/oleObject" Target="../embeddings/oleObject_8_31.bin" /><Relationship Id="rId33" Type="http://schemas.openxmlformats.org/officeDocument/2006/relationships/oleObject" Target="../embeddings/oleObject_8_32.bin" /><Relationship Id="rId34" Type="http://schemas.openxmlformats.org/officeDocument/2006/relationships/oleObject" Target="../embeddings/oleObject_8_33.bin" /><Relationship Id="rId35" Type="http://schemas.openxmlformats.org/officeDocument/2006/relationships/oleObject" Target="../embeddings/oleObject_8_34.bin" /><Relationship Id="rId36" Type="http://schemas.openxmlformats.org/officeDocument/2006/relationships/oleObject" Target="../embeddings/oleObject_8_35.bin" /><Relationship Id="rId37" Type="http://schemas.openxmlformats.org/officeDocument/2006/relationships/oleObject" Target="../embeddings/oleObject_8_36.bin" /><Relationship Id="rId38" Type="http://schemas.openxmlformats.org/officeDocument/2006/relationships/oleObject" Target="../embeddings/oleObject_8_37.bin" /><Relationship Id="rId39" Type="http://schemas.openxmlformats.org/officeDocument/2006/relationships/oleObject" Target="../embeddings/oleObject_8_38.bin" /><Relationship Id="rId40" Type="http://schemas.openxmlformats.org/officeDocument/2006/relationships/oleObject" Target="../embeddings/oleObject_8_39.bin" /><Relationship Id="rId41" Type="http://schemas.openxmlformats.org/officeDocument/2006/relationships/oleObject" Target="../embeddings/oleObject_8_40.bin" /><Relationship Id="rId42" Type="http://schemas.openxmlformats.org/officeDocument/2006/relationships/oleObject" Target="../embeddings/oleObject_8_41.bin" /><Relationship Id="rId43" Type="http://schemas.openxmlformats.org/officeDocument/2006/relationships/oleObject" Target="../embeddings/oleObject_8_42.bin" /><Relationship Id="rId44" Type="http://schemas.openxmlformats.org/officeDocument/2006/relationships/oleObject" Target="../embeddings/oleObject_8_43.bin" /><Relationship Id="rId45" Type="http://schemas.openxmlformats.org/officeDocument/2006/relationships/oleObject" Target="../embeddings/oleObject_8_44.bin" /><Relationship Id="rId46" Type="http://schemas.openxmlformats.org/officeDocument/2006/relationships/oleObject" Target="../embeddings/oleObject_8_45.bin" /><Relationship Id="rId47" Type="http://schemas.openxmlformats.org/officeDocument/2006/relationships/oleObject" Target="../embeddings/oleObject_8_46.bin" /><Relationship Id="rId48" Type="http://schemas.openxmlformats.org/officeDocument/2006/relationships/oleObject" Target="../embeddings/oleObject_8_47.bin" /><Relationship Id="rId49" Type="http://schemas.openxmlformats.org/officeDocument/2006/relationships/oleObject" Target="../embeddings/oleObject_8_48.bin" /><Relationship Id="rId50" Type="http://schemas.openxmlformats.org/officeDocument/2006/relationships/oleObject" Target="../embeddings/oleObject_8_49.bin" /><Relationship Id="rId51" Type="http://schemas.openxmlformats.org/officeDocument/2006/relationships/oleObject" Target="../embeddings/oleObject_8_50.bin" /><Relationship Id="rId52" Type="http://schemas.openxmlformats.org/officeDocument/2006/relationships/oleObject" Target="../embeddings/oleObject_8_51.bin" /><Relationship Id="rId53" Type="http://schemas.openxmlformats.org/officeDocument/2006/relationships/oleObject" Target="../embeddings/oleObject_8_52.bin" /><Relationship Id="rId54" Type="http://schemas.openxmlformats.org/officeDocument/2006/relationships/oleObject" Target="../embeddings/oleObject_8_53.bin" /><Relationship Id="rId55" Type="http://schemas.openxmlformats.org/officeDocument/2006/relationships/oleObject" Target="../embeddings/oleObject_8_54.bin" /><Relationship Id="rId56" Type="http://schemas.openxmlformats.org/officeDocument/2006/relationships/oleObject" Target="../embeddings/oleObject_8_55.bin" /><Relationship Id="rId57" Type="http://schemas.openxmlformats.org/officeDocument/2006/relationships/vmlDrawing" Target="../drawings/vmlDrawing6.vml" /><Relationship Id="rId5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V68"/>
  <sheetViews>
    <sheetView showGridLines="0" showRowColHeaders="0" tabSelected="1" workbookViewId="0" topLeftCell="A1">
      <selection activeCell="S15" sqref="S15"/>
    </sheetView>
  </sheetViews>
  <sheetFormatPr defaultColWidth="11.421875" defaultRowHeight="15" customHeight="1"/>
  <cols>
    <col min="1" max="1" width="3.7109375" style="355" customWidth="1"/>
    <col min="2" max="19" width="8.7109375" style="355" customWidth="1"/>
    <col min="20" max="21" width="2.7109375" style="355" customWidth="1"/>
    <col min="22" max="22" width="3.7109375" style="355" customWidth="1"/>
    <col min="23" max="16384" width="11.421875" style="355" customWidth="1"/>
  </cols>
  <sheetData>
    <row r="1" spans="3:14" ht="18" customHeight="1">
      <c r="C1" s="357"/>
      <c r="D1" s="357"/>
      <c r="E1" s="357"/>
      <c r="F1" s="357"/>
      <c r="G1" s="357"/>
      <c r="H1" s="357"/>
      <c r="I1" s="357"/>
      <c r="J1" s="357"/>
      <c r="K1" s="357"/>
      <c r="L1" s="357"/>
      <c r="M1" s="357"/>
      <c r="N1" s="357"/>
    </row>
    <row r="2" spans="2:17" ht="18" customHeight="1">
      <c r="B2" s="178" t="str">
        <f>IF(I13&gt;2.5," A T T E N T I O N :",IF(I13&gt;1.5,"A C H T U N G :","D İ K K A T :"))</f>
        <v>D İ K K A T :</v>
      </c>
      <c r="C2" s="357"/>
      <c r="D2" s="357"/>
      <c r="E2" s="357"/>
      <c r="F2" s="357"/>
      <c r="G2" s="357"/>
      <c r="H2" s="357"/>
      <c r="I2" s="357"/>
      <c r="J2" s="357"/>
      <c r="K2" s="357"/>
      <c r="L2" s="357"/>
      <c r="M2" s="357"/>
      <c r="Q2" s="357"/>
    </row>
    <row r="3" spans="2:22" ht="18" customHeight="1">
      <c r="B3" s="859" t="str">
        <f>IF(I13&gt;2.5,B55,IF(I13&gt;1.5,B50,IF(I13&gt;0.5,B44,"")))</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859"/>
      <c r="D3" s="859"/>
      <c r="E3" s="859"/>
      <c r="F3" s="859"/>
      <c r="G3" s="859"/>
      <c r="H3" s="859"/>
      <c r="I3" s="859"/>
      <c r="J3" s="859"/>
      <c r="K3" s="859"/>
      <c r="L3" s="859"/>
      <c r="M3" s="859"/>
      <c r="N3" s="859"/>
      <c r="O3" s="859"/>
      <c r="P3" s="859"/>
      <c r="Q3" s="859"/>
      <c r="R3" s="859"/>
      <c r="S3" s="859"/>
      <c r="V3" s="357"/>
    </row>
    <row r="4" spans="1:22" ht="18" customHeight="1">
      <c r="A4" s="357"/>
      <c r="B4" s="859"/>
      <c r="C4" s="859"/>
      <c r="D4" s="859"/>
      <c r="E4" s="859"/>
      <c r="F4" s="859"/>
      <c r="G4" s="859"/>
      <c r="H4" s="859"/>
      <c r="I4" s="859"/>
      <c r="J4" s="859"/>
      <c r="K4" s="859"/>
      <c r="L4" s="859"/>
      <c r="M4" s="859"/>
      <c r="N4" s="859"/>
      <c r="O4" s="859"/>
      <c r="P4" s="859"/>
      <c r="Q4" s="859"/>
      <c r="R4" s="859"/>
      <c r="S4" s="859"/>
      <c r="V4" s="357"/>
    </row>
    <row r="5" spans="1:22" ht="18" customHeight="1">
      <c r="A5" s="357"/>
      <c r="B5" s="859"/>
      <c r="C5" s="859"/>
      <c r="D5" s="859"/>
      <c r="E5" s="859"/>
      <c r="F5" s="859"/>
      <c r="G5" s="859"/>
      <c r="H5" s="859"/>
      <c r="I5" s="859"/>
      <c r="J5" s="859"/>
      <c r="K5" s="859"/>
      <c r="L5" s="859"/>
      <c r="M5" s="859"/>
      <c r="N5" s="859"/>
      <c r="O5" s="859"/>
      <c r="P5" s="859"/>
      <c r="Q5" s="859"/>
      <c r="R5" s="859"/>
      <c r="S5" s="859"/>
      <c r="V5" s="357"/>
    </row>
    <row r="6" spans="1:22" ht="18" customHeight="1">
      <c r="A6" s="357"/>
      <c r="B6" s="859"/>
      <c r="C6" s="859"/>
      <c r="D6" s="859"/>
      <c r="E6" s="859"/>
      <c r="F6" s="859"/>
      <c r="G6" s="859"/>
      <c r="H6" s="859"/>
      <c r="I6" s="859"/>
      <c r="J6" s="859"/>
      <c r="K6" s="859"/>
      <c r="L6" s="859"/>
      <c r="M6" s="859"/>
      <c r="N6" s="859"/>
      <c r="O6" s="859"/>
      <c r="P6" s="859"/>
      <c r="Q6" s="859"/>
      <c r="R6" s="859"/>
      <c r="S6" s="859"/>
      <c r="V6" s="357"/>
    </row>
    <row r="7" spans="1:22" ht="18" customHeight="1">
      <c r="A7" s="357"/>
      <c r="F7" s="357"/>
      <c r="V7" s="357"/>
    </row>
    <row r="8" spans="1:22" ht="18" customHeight="1">
      <c r="A8" s="357"/>
      <c r="B8" s="859" t="str">
        <f>IF(I13&gt;2.5,B65,IF(I13&gt;1.5,B62,IF(I13&gt;0.5,B59,"")))</f>
        <v>Bu programdaki her bilgiyi kaynak göstermek şartıyla her yerde kullanabilirsiniz. Bu programa verilecek değerleri (mavi kareler) ya bu sitedeki bilgilerden veya literatürden almalısınız.</v>
      </c>
      <c r="C8" s="859"/>
      <c r="D8" s="859"/>
      <c r="E8" s="859"/>
      <c r="F8" s="859"/>
      <c r="G8" s="859"/>
      <c r="H8" s="859"/>
      <c r="I8" s="859"/>
      <c r="J8" s="859"/>
      <c r="K8" s="859"/>
      <c r="L8" s="859"/>
      <c r="M8" s="859"/>
      <c r="N8" s="859"/>
      <c r="O8" s="859"/>
      <c r="P8" s="859"/>
      <c r="Q8" s="859"/>
      <c r="R8" s="859"/>
      <c r="S8" s="859"/>
      <c r="V8" s="357"/>
    </row>
    <row r="9" spans="1:22" ht="18" customHeight="1">
      <c r="A9" s="357"/>
      <c r="B9" s="859"/>
      <c r="C9" s="859"/>
      <c r="D9" s="859"/>
      <c r="E9" s="859"/>
      <c r="F9" s="859"/>
      <c r="G9" s="859"/>
      <c r="H9" s="859"/>
      <c r="I9" s="859"/>
      <c r="J9" s="859"/>
      <c r="K9" s="859"/>
      <c r="L9" s="859"/>
      <c r="M9" s="859"/>
      <c r="N9" s="859"/>
      <c r="O9" s="859"/>
      <c r="P9" s="859"/>
      <c r="Q9" s="859"/>
      <c r="R9" s="859"/>
      <c r="S9" s="859"/>
      <c r="V9" s="357"/>
    </row>
    <row r="10" spans="1:22" ht="18" customHeight="1">
      <c r="A10" s="357"/>
      <c r="I10" s="357"/>
      <c r="J10" s="357"/>
      <c r="V10" s="357"/>
    </row>
    <row r="11" spans="1:22" ht="18" customHeight="1">
      <c r="A11" s="357"/>
      <c r="B11" s="400" t="s">
        <v>166</v>
      </c>
      <c r="C11" s="401"/>
      <c r="D11" s="401"/>
      <c r="G11" s="861" t="s">
        <v>167</v>
      </c>
      <c r="H11" s="861"/>
      <c r="I11" s="861"/>
      <c r="J11" s="861"/>
      <c r="K11" s="861"/>
      <c r="N11" s="402" t="s">
        <v>605</v>
      </c>
      <c r="O11" s="357"/>
      <c r="Q11" s="357"/>
      <c r="T11" s="357"/>
      <c r="U11" s="357"/>
      <c r="V11" s="357"/>
    </row>
    <row r="12" spans="1:22" ht="18" customHeight="1" thickBot="1">
      <c r="A12" s="357"/>
      <c r="I12" s="357"/>
      <c r="J12" s="357"/>
      <c r="T12" s="357"/>
      <c r="U12" s="357"/>
      <c r="V12" s="357"/>
    </row>
    <row r="13" spans="1:22" ht="18" customHeight="1" thickBot="1" thickTop="1">
      <c r="A13" s="357"/>
      <c r="B13" s="403" t="s">
        <v>162</v>
      </c>
      <c r="C13" s="819"/>
      <c r="D13" s="439"/>
      <c r="E13" s="404"/>
      <c r="F13" s="405"/>
      <c r="G13" s="406"/>
      <c r="H13" s="440"/>
      <c r="I13" s="856">
        <v>1</v>
      </c>
      <c r="J13" s="357"/>
      <c r="K13" s="862"/>
      <c r="L13" s="862"/>
      <c r="M13" s="862"/>
      <c r="N13" s="862"/>
      <c r="O13" s="862"/>
      <c r="P13" s="862"/>
      <c r="Q13" s="862"/>
      <c r="R13" s="357"/>
      <c r="S13" s="357"/>
      <c r="T13" s="357"/>
      <c r="U13" s="357"/>
      <c r="V13" s="357"/>
    </row>
    <row r="14" spans="1:22" ht="18" customHeight="1" thickTop="1">
      <c r="A14" s="357"/>
      <c r="B14" s="407" t="s">
        <v>163</v>
      </c>
      <c r="C14" s="820"/>
      <c r="D14" s="821"/>
      <c r="E14" s="408"/>
      <c r="F14" s="409"/>
      <c r="G14" s="410"/>
      <c r="H14" s="441"/>
      <c r="I14" s="857"/>
      <c r="J14" s="411"/>
      <c r="K14" s="863" t="str">
        <f>IF(I13&gt;2.5,"Input fields (in blue) are not write-protected. ",IF(I13&gt;1.5,"Blaue Felder sind Eingabefelder, welche nicht schreibgeschützt sind. ",IF(I13&gt;0.5,"Mavi olan kareler kilitli olmayan ve yazılabilinen karelerdir","")))</f>
        <v>Mavi olan kareler kilitli olmayan ve yazılabilinen karelerdir</v>
      </c>
      <c r="L14" s="863"/>
      <c r="M14" s="863"/>
      <c r="N14" s="863"/>
      <c r="O14" s="863"/>
      <c r="P14" s="863"/>
      <c r="Q14" s="863"/>
      <c r="R14" s="357"/>
      <c r="S14" s="357"/>
      <c r="T14" s="357"/>
      <c r="U14" s="357"/>
      <c r="V14" s="357"/>
    </row>
    <row r="15" spans="1:22" ht="18" customHeight="1" thickBot="1">
      <c r="A15" s="357"/>
      <c r="B15" s="412" t="s">
        <v>164</v>
      </c>
      <c r="C15" s="822"/>
      <c r="D15" s="823"/>
      <c r="E15" s="413"/>
      <c r="F15" s="414"/>
      <c r="G15" s="415"/>
      <c r="H15" s="442"/>
      <c r="I15" s="858"/>
      <c r="J15" s="411"/>
      <c r="K15" s="863"/>
      <c r="L15" s="863"/>
      <c r="M15" s="863"/>
      <c r="N15" s="863"/>
      <c r="O15" s="863"/>
      <c r="P15" s="863"/>
      <c r="Q15" s="863"/>
      <c r="R15" s="357"/>
      <c r="S15" s="357"/>
      <c r="T15" s="357"/>
      <c r="U15" s="357"/>
      <c r="V15" s="357"/>
    </row>
    <row r="16" spans="1:22" ht="18" customHeight="1" thickTop="1">
      <c r="A16" s="357"/>
      <c r="T16" s="357"/>
      <c r="U16" s="357"/>
      <c r="V16" s="357"/>
    </row>
    <row r="17" spans="1:22" ht="18" customHeight="1">
      <c r="A17" s="357"/>
      <c r="C17" s="356"/>
      <c r="D17" s="356"/>
      <c r="F17" s="356" t="str">
        <f>IF(I13&gt;2.5,"Round gears, three-stage",IF(I13&gt;1.5,"Zylindrische aussen Zahnräder, Dreistufig","Silindirik alın dişlileri, 3 kademeli"))</f>
        <v>Silindirik alın dişlileri, 3 kademeli</v>
      </c>
      <c r="G17" s="357"/>
      <c r="H17" s="357"/>
      <c r="I17" s="357"/>
      <c r="J17" s="357"/>
      <c r="L17" s="357"/>
      <c r="M17" s="357"/>
      <c r="N17" s="357"/>
      <c r="O17" s="357"/>
      <c r="P17" s="357"/>
      <c r="Q17" s="357"/>
      <c r="R17" s="357"/>
      <c r="S17" s="357"/>
      <c r="T17" s="357"/>
      <c r="U17" s="357"/>
      <c r="V17" s="357"/>
    </row>
    <row r="18" spans="1:22" ht="18" customHeight="1">
      <c r="A18" s="357"/>
      <c r="C18" s="356"/>
      <c r="D18" s="356"/>
      <c r="G18" s="357"/>
      <c r="H18" s="357"/>
      <c r="I18" s="357"/>
      <c r="J18" s="357"/>
      <c r="K18" s="357"/>
      <c r="L18" s="357"/>
      <c r="M18" s="357"/>
      <c r="N18" s="357"/>
      <c r="O18" s="357"/>
      <c r="P18" s="357"/>
      <c r="Q18" s="357"/>
      <c r="R18" s="357"/>
      <c r="S18" s="357"/>
      <c r="T18" s="357"/>
      <c r="U18" s="357"/>
      <c r="V18" s="357"/>
    </row>
    <row r="19" spans="1:22" ht="18" customHeight="1">
      <c r="A19" s="357"/>
      <c r="B19" s="356" t="str">
        <f>IF(I13&gt;2.5,"TABLE OF CONTENTS",IF(I13&gt;1.5,"INHALT",IF(I13&gt;0.5,"İÇİNDEKİLER","")))</f>
        <v>İÇİNDEKİLER</v>
      </c>
      <c r="C19" s="357"/>
      <c r="D19" s="357"/>
      <c r="G19" s="357"/>
      <c r="H19" s="357"/>
      <c r="I19" s="357"/>
      <c r="J19" s="178" t="str">
        <f>IF(I13&gt;2.5,"TABLE OF CONTENTS",IF(I13&gt;1.5,"INHALT",IF(I13&gt;0.5,"İÇİNDEKİLER","")))</f>
        <v>İÇİNDEKİLER</v>
      </c>
      <c r="K19" s="357"/>
      <c r="L19" s="357"/>
      <c r="M19" s="357"/>
      <c r="N19" s="357"/>
      <c r="O19" s="357"/>
      <c r="P19" s="357"/>
      <c r="Q19" s="357"/>
      <c r="R19" s="357"/>
      <c r="S19" s="357"/>
      <c r="T19" s="357"/>
      <c r="U19" s="357"/>
      <c r="V19" s="357"/>
    </row>
    <row r="20" spans="1:22" ht="18" customHeight="1">
      <c r="A20" s="357"/>
      <c r="B20" s="447" t="str">
        <f>0!C2</f>
        <v>0. Programın kullanılması</v>
      </c>
      <c r="E20" s="357"/>
      <c r="G20" s="357"/>
      <c r="H20" s="446"/>
      <c r="I20" s="357"/>
      <c r="J20" s="447" t="str">
        <f>0!AF34</f>
        <v>1. Temel değerler</v>
      </c>
      <c r="K20" s="357"/>
      <c r="L20" s="357"/>
      <c r="M20" s="357"/>
      <c r="N20" s="357"/>
      <c r="O20" s="357"/>
      <c r="P20" s="357"/>
      <c r="Q20" s="357"/>
      <c r="R20" s="357"/>
      <c r="S20" s="357"/>
      <c r="T20" s="357"/>
      <c r="U20" s="357"/>
      <c r="V20" s="357"/>
    </row>
    <row r="21" spans="1:22" ht="18" customHeight="1">
      <c r="A21" s="357"/>
      <c r="B21" s="458" t="str">
        <f>0!X35</f>
        <v>2.  1. Kademenin geometrik ölçüleri </v>
      </c>
      <c r="G21" s="357"/>
      <c r="H21" s="357"/>
      <c r="I21" s="357"/>
      <c r="J21" s="447" t="str">
        <f>0!AF35</f>
        <v>3.   1. Kademeninde mukavemet hesapları  </v>
      </c>
      <c r="K21" s="357"/>
      <c r="L21" s="357"/>
      <c r="M21" s="357"/>
      <c r="N21" s="357"/>
      <c r="O21" s="357"/>
      <c r="P21" s="357"/>
      <c r="Q21" s="357"/>
      <c r="R21" s="357"/>
      <c r="S21" s="357"/>
      <c r="T21" s="357"/>
      <c r="U21" s="357"/>
      <c r="V21" s="357"/>
    </row>
    <row r="22" spans="1:22" ht="18" customHeight="1">
      <c r="A22" s="357"/>
      <c r="B22" s="447" t="str">
        <f>0!X36</f>
        <v>4.  2. Kademenin geometrik ölçüleri </v>
      </c>
      <c r="F22" s="357"/>
      <c r="G22" s="357"/>
      <c r="H22" s="446"/>
      <c r="I22" s="357"/>
      <c r="J22" s="458" t="str">
        <f>0!AF36</f>
        <v>5.   2. Kademeninde mukavemet hesapları  </v>
      </c>
      <c r="K22" s="357"/>
      <c r="L22" s="357"/>
      <c r="M22" s="357"/>
      <c r="N22" s="357"/>
      <c r="O22" s="357"/>
      <c r="P22" s="357"/>
      <c r="Q22" s="357"/>
      <c r="R22" s="357"/>
      <c r="S22" s="357"/>
      <c r="T22" s="357"/>
      <c r="U22" s="357"/>
      <c r="V22" s="357"/>
    </row>
    <row r="23" spans="1:22" ht="18" customHeight="1">
      <c r="A23" s="357"/>
      <c r="B23" s="458" t="str">
        <f>0!X37</f>
        <v>6.  3. Kademenin geometrik ölçüleri </v>
      </c>
      <c r="C23" s="357"/>
      <c r="D23" s="357"/>
      <c r="E23" s="357"/>
      <c r="F23" s="357"/>
      <c r="H23" s="447"/>
      <c r="J23" s="447" t="str">
        <f>0!AF37</f>
        <v>7.   3. Kademeninde mukavemet hesapları  </v>
      </c>
      <c r="V23" s="357"/>
    </row>
    <row r="24" spans="1:22" ht="18" customHeight="1">
      <c r="A24" s="357"/>
      <c r="B24" s="447" t="str">
        <f>0!X38</f>
        <v>8. Bütün İmalat ölçüleri </v>
      </c>
      <c r="H24" s="446"/>
      <c r="J24" s="447" t="str">
        <f>0!AF38</f>
        <v>9- Toleranslar ve Wk-Toleransları</v>
      </c>
      <c r="T24" s="357"/>
      <c r="V24" s="357"/>
    </row>
    <row r="25" spans="1:22" ht="18" customHeight="1">
      <c r="A25" s="357"/>
      <c r="B25" s="447" t="str">
        <f>0!X39</f>
        <v>10. Gerekli emniyet faktörleri </v>
      </c>
      <c r="H25" s="447"/>
      <c r="J25" s="447" t="str">
        <f>0!AF39</f>
        <v>11. İşletme faktörü </v>
      </c>
      <c r="T25" s="357"/>
      <c r="V25" s="357"/>
    </row>
    <row r="26" spans="1:22" ht="18" customHeight="1">
      <c r="A26" s="357"/>
      <c r="H26" s="446"/>
      <c r="P26" s="357"/>
      <c r="Q26" s="357"/>
      <c r="V26" s="357"/>
    </row>
    <row r="27" spans="1:22" ht="18" customHeight="1">
      <c r="A27" s="357"/>
      <c r="H27" s="447"/>
      <c r="V27" s="357"/>
    </row>
    <row r="28" spans="1:22" ht="18" customHeight="1">
      <c r="A28" s="357"/>
      <c r="H28" s="446"/>
      <c r="M28" s="357"/>
      <c r="T28" s="357"/>
      <c r="U28" s="357"/>
      <c r="V28" s="357"/>
    </row>
    <row r="29" spans="1:22" ht="18" customHeight="1">
      <c r="A29" s="357"/>
      <c r="H29" s="446"/>
      <c r="M29" s="357"/>
      <c r="V29" s="357"/>
    </row>
    <row r="30" spans="1:22" ht="18" customHeight="1">
      <c r="A30" s="416"/>
      <c r="B30" s="416"/>
      <c r="C30" s="416"/>
      <c r="D30" s="416"/>
      <c r="E30" s="416"/>
      <c r="F30" s="416"/>
      <c r="G30" s="416"/>
      <c r="H30" s="447"/>
      <c r="I30" s="416"/>
      <c r="J30" s="416"/>
      <c r="K30" s="416"/>
      <c r="L30" s="416"/>
      <c r="M30" s="357"/>
      <c r="O30" s="357"/>
      <c r="P30" s="357"/>
      <c r="Q30" s="357"/>
      <c r="R30" s="357"/>
      <c r="S30" s="357"/>
      <c r="T30" s="357"/>
      <c r="U30" s="357"/>
      <c r="V30" s="357"/>
    </row>
    <row r="31" spans="1:22" ht="18" customHeight="1" hidden="1">
      <c r="A31" s="416"/>
      <c r="M31" s="357"/>
      <c r="O31" s="357"/>
      <c r="P31" s="357"/>
      <c r="Q31" s="357"/>
      <c r="R31" s="357"/>
      <c r="S31" s="357"/>
      <c r="T31" s="357"/>
      <c r="U31" s="357"/>
      <c r="V31" s="357"/>
    </row>
    <row r="32" spans="1:22" ht="18" customHeight="1" hidden="1">
      <c r="A32" s="416"/>
      <c r="O32" s="357"/>
      <c r="P32" s="357"/>
      <c r="Q32" s="357"/>
      <c r="R32" s="357"/>
      <c r="S32" s="357"/>
      <c r="T32" s="357"/>
      <c r="U32" s="357"/>
      <c r="V32" s="357"/>
    </row>
    <row r="33" spans="1:22" ht="18" customHeight="1" hidden="1">
      <c r="A33" s="416"/>
      <c r="O33" s="357"/>
      <c r="P33" s="357"/>
      <c r="Q33" s="357"/>
      <c r="R33" s="357"/>
      <c r="S33" s="357"/>
      <c r="T33" s="357"/>
      <c r="U33" s="357"/>
      <c r="V33" s="357"/>
    </row>
    <row r="34" spans="1:21" ht="13.5" customHeight="1" hidden="1">
      <c r="A34" s="416"/>
      <c r="O34" s="357"/>
      <c r="P34" s="357"/>
      <c r="Q34" s="357"/>
      <c r="R34" s="357"/>
      <c r="S34" s="357"/>
      <c r="T34" s="357"/>
      <c r="U34" s="357"/>
    </row>
    <row r="35" ht="13.5" customHeight="1" hidden="1">
      <c r="A35" s="416"/>
    </row>
    <row r="36" ht="13.5" customHeight="1" hidden="1">
      <c r="A36" s="416"/>
    </row>
    <row r="37" ht="13.5" customHeight="1" hidden="1">
      <c r="A37" s="443"/>
    </row>
    <row r="38" ht="13.5" customHeight="1" hidden="1">
      <c r="A38" s="443"/>
    </row>
    <row r="39" ht="13.5" customHeight="1" hidden="1">
      <c r="A39" s="443"/>
    </row>
    <row r="40" ht="13.5" customHeight="1" hidden="1">
      <c r="A40" s="443"/>
    </row>
    <row r="41" ht="13.5" customHeight="1" hidden="1">
      <c r="A41" s="443"/>
    </row>
    <row r="42" spans="1:18" ht="13.5" customHeight="1" hidden="1">
      <c r="A42" s="443"/>
      <c r="B42" s="417"/>
      <c r="C42" s="417"/>
      <c r="D42" s="417"/>
      <c r="E42" s="417"/>
      <c r="F42" s="417"/>
      <c r="G42" s="417"/>
      <c r="H42" s="417"/>
      <c r="I42" s="417"/>
      <c r="J42" s="417"/>
      <c r="K42" s="417"/>
      <c r="L42" s="417"/>
      <c r="M42" s="417"/>
      <c r="N42" s="417"/>
      <c r="O42" s="417"/>
      <c r="P42" s="417"/>
      <c r="Q42" s="417"/>
      <c r="R42" s="443"/>
    </row>
    <row r="43" spans="2:17" ht="13.5" customHeight="1" hidden="1">
      <c r="B43" s="418"/>
      <c r="C43" s="418"/>
      <c r="D43" s="418"/>
      <c r="E43" s="418"/>
      <c r="F43" s="418"/>
      <c r="G43" s="418"/>
      <c r="H43" s="418"/>
      <c r="I43" s="418"/>
      <c r="J43" s="418"/>
      <c r="K43" s="418"/>
      <c r="L43" s="418"/>
      <c r="M43" s="418"/>
      <c r="N43" s="418"/>
      <c r="O43" s="418"/>
      <c r="P43" s="418"/>
      <c r="Q43" s="418"/>
    </row>
    <row r="44" spans="2:18" ht="13.5" customHeight="1" hidden="1">
      <c r="B44" s="860" t="s">
        <v>168</v>
      </c>
      <c r="C44" s="860"/>
      <c r="D44" s="860"/>
      <c r="E44" s="860"/>
      <c r="F44" s="860"/>
      <c r="G44" s="860"/>
      <c r="H44" s="860"/>
      <c r="I44" s="860"/>
      <c r="J44" s="860"/>
      <c r="K44" s="860"/>
      <c r="L44" s="860"/>
      <c r="M44" s="860"/>
      <c r="N44" s="860"/>
      <c r="O44" s="860"/>
      <c r="P44" s="860"/>
      <c r="Q44" s="860"/>
      <c r="R44" s="443" t="s">
        <v>70</v>
      </c>
    </row>
    <row r="45" spans="2:18" ht="13.5" customHeight="1" hidden="1">
      <c r="B45" s="860"/>
      <c r="C45" s="860"/>
      <c r="D45" s="860"/>
      <c r="E45" s="860"/>
      <c r="F45" s="860"/>
      <c r="G45" s="860"/>
      <c r="H45" s="860"/>
      <c r="I45" s="860"/>
      <c r="J45" s="860"/>
      <c r="K45" s="860"/>
      <c r="L45" s="860"/>
      <c r="M45" s="860"/>
      <c r="N45" s="860"/>
      <c r="O45" s="860"/>
      <c r="P45" s="860"/>
      <c r="Q45" s="860"/>
      <c r="R45" s="416"/>
    </row>
    <row r="46" spans="2:22" ht="13.5" customHeight="1" hidden="1">
      <c r="B46" s="860"/>
      <c r="C46" s="860"/>
      <c r="D46" s="860"/>
      <c r="E46" s="860"/>
      <c r="F46" s="860"/>
      <c r="G46" s="860"/>
      <c r="H46" s="860"/>
      <c r="I46" s="860"/>
      <c r="J46" s="860"/>
      <c r="K46" s="860"/>
      <c r="L46" s="860"/>
      <c r="M46" s="860"/>
      <c r="N46" s="860"/>
      <c r="O46" s="860"/>
      <c r="P46" s="860"/>
      <c r="Q46" s="860"/>
      <c r="V46" s="357"/>
    </row>
    <row r="47" spans="2:22" ht="13.5" customHeight="1" hidden="1">
      <c r="B47" s="860"/>
      <c r="C47" s="860"/>
      <c r="D47" s="860"/>
      <c r="E47" s="860"/>
      <c r="F47" s="860"/>
      <c r="G47" s="860"/>
      <c r="H47" s="860"/>
      <c r="I47" s="860"/>
      <c r="J47" s="860"/>
      <c r="K47" s="860"/>
      <c r="L47" s="860"/>
      <c r="M47" s="860"/>
      <c r="N47" s="860"/>
      <c r="O47" s="860"/>
      <c r="P47" s="860"/>
      <c r="Q47" s="860"/>
      <c r="V47" s="357"/>
    </row>
    <row r="48" spans="2:22" ht="13.5" customHeight="1" hidden="1">
      <c r="B48" s="860"/>
      <c r="C48" s="860"/>
      <c r="D48" s="860"/>
      <c r="E48" s="860"/>
      <c r="F48" s="860"/>
      <c r="G48" s="860"/>
      <c r="H48" s="860"/>
      <c r="I48" s="860"/>
      <c r="J48" s="860"/>
      <c r="K48" s="860"/>
      <c r="L48" s="860"/>
      <c r="M48" s="860"/>
      <c r="N48" s="860"/>
      <c r="O48" s="860"/>
      <c r="P48" s="860"/>
      <c r="Q48" s="860"/>
      <c r="V48" s="357"/>
    </row>
    <row r="49" ht="13.5" customHeight="1" hidden="1">
      <c r="V49" s="357"/>
    </row>
    <row r="50" spans="2:22" ht="13.5" customHeight="1" hidden="1">
      <c r="B50" s="854" t="s">
        <v>169</v>
      </c>
      <c r="C50" s="854"/>
      <c r="D50" s="854"/>
      <c r="E50" s="854"/>
      <c r="F50" s="854"/>
      <c r="G50" s="854"/>
      <c r="H50" s="854"/>
      <c r="I50" s="854"/>
      <c r="J50" s="854"/>
      <c r="K50" s="854"/>
      <c r="L50" s="854"/>
      <c r="M50" s="854"/>
      <c r="N50" s="854"/>
      <c r="O50" s="854"/>
      <c r="P50" s="854"/>
      <c r="Q50" s="854"/>
      <c r="R50" s="444" t="s">
        <v>170</v>
      </c>
      <c r="V50" s="357"/>
    </row>
    <row r="51" spans="2:22" ht="13.5" customHeight="1" hidden="1">
      <c r="B51" s="854"/>
      <c r="C51" s="854"/>
      <c r="D51" s="854"/>
      <c r="E51" s="854"/>
      <c r="F51" s="854"/>
      <c r="G51" s="854"/>
      <c r="H51" s="854"/>
      <c r="I51" s="854"/>
      <c r="J51" s="854"/>
      <c r="K51" s="854"/>
      <c r="L51" s="854"/>
      <c r="M51" s="854"/>
      <c r="N51" s="854"/>
      <c r="O51" s="854"/>
      <c r="P51" s="854"/>
      <c r="Q51" s="854"/>
      <c r="V51" s="357"/>
    </row>
    <row r="52" spans="2:22" ht="13.5" customHeight="1" hidden="1">
      <c r="B52" s="854"/>
      <c r="C52" s="854"/>
      <c r="D52" s="854"/>
      <c r="E52" s="854"/>
      <c r="F52" s="854"/>
      <c r="G52" s="854"/>
      <c r="H52" s="854"/>
      <c r="I52" s="854"/>
      <c r="J52" s="854"/>
      <c r="K52" s="854"/>
      <c r="L52" s="854"/>
      <c r="M52" s="854"/>
      <c r="N52" s="854"/>
      <c r="O52" s="854"/>
      <c r="P52" s="854"/>
      <c r="Q52" s="854"/>
      <c r="V52" s="357"/>
    </row>
    <row r="53" spans="2:22" ht="13.5" customHeight="1" hidden="1">
      <c r="B53" s="854"/>
      <c r="C53" s="854"/>
      <c r="D53" s="854"/>
      <c r="E53" s="854"/>
      <c r="F53" s="854"/>
      <c r="G53" s="854"/>
      <c r="H53" s="854"/>
      <c r="I53" s="854"/>
      <c r="J53" s="854"/>
      <c r="K53" s="854"/>
      <c r="L53" s="854"/>
      <c r="M53" s="854"/>
      <c r="N53" s="854"/>
      <c r="O53" s="854"/>
      <c r="P53" s="854"/>
      <c r="Q53" s="854"/>
      <c r="V53" s="357"/>
    </row>
    <row r="54" ht="13.5" customHeight="1" hidden="1">
      <c r="V54" s="357"/>
    </row>
    <row r="55" spans="2:22" ht="13.5" customHeight="1" hidden="1">
      <c r="B55" s="855" t="s">
        <v>171</v>
      </c>
      <c r="C55" s="855"/>
      <c r="D55" s="855"/>
      <c r="E55" s="855"/>
      <c r="F55" s="855"/>
      <c r="G55" s="855"/>
      <c r="H55" s="855"/>
      <c r="I55" s="855"/>
      <c r="J55" s="855"/>
      <c r="K55" s="855"/>
      <c r="L55" s="855"/>
      <c r="M55" s="855"/>
      <c r="N55" s="855"/>
      <c r="O55" s="855"/>
      <c r="P55" s="855"/>
      <c r="Q55" s="855"/>
      <c r="R55" s="445" t="s">
        <v>172</v>
      </c>
      <c r="V55" s="357"/>
    </row>
    <row r="56" spans="2:22" ht="13.5" customHeight="1" hidden="1">
      <c r="B56" s="855"/>
      <c r="C56" s="855"/>
      <c r="D56" s="855"/>
      <c r="E56" s="855"/>
      <c r="F56" s="855"/>
      <c r="G56" s="855"/>
      <c r="H56" s="855"/>
      <c r="I56" s="855"/>
      <c r="J56" s="855"/>
      <c r="K56" s="855"/>
      <c r="L56" s="855"/>
      <c r="M56" s="855"/>
      <c r="N56" s="855"/>
      <c r="O56" s="855"/>
      <c r="P56" s="855"/>
      <c r="Q56" s="855"/>
      <c r="V56" s="357"/>
    </row>
    <row r="57" spans="2:17" ht="13.5" customHeight="1" hidden="1">
      <c r="B57" s="855"/>
      <c r="C57" s="855"/>
      <c r="D57" s="855"/>
      <c r="E57" s="855"/>
      <c r="F57" s="855"/>
      <c r="G57" s="855"/>
      <c r="H57" s="855"/>
      <c r="I57" s="855"/>
      <c r="J57" s="855"/>
      <c r="K57" s="855"/>
      <c r="L57" s="855"/>
      <c r="M57" s="855"/>
      <c r="N57" s="855"/>
      <c r="O57" s="855"/>
      <c r="P57" s="855"/>
      <c r="Q57" s="855"/>
    </row>
    <row r="58" spans="2:17" ht="13.5" customHeight="1" hidden="1">
      <c r="B58" s="855"/>
      <c r="C58" s="855"/>
      <c r="D58" s="855"/>
      <c r="E58" s="855"/>
      <c r="F58" s="855"/>
      <c r="G58" s="855"/>
      <c r="H58" s="855"/>
      <c r="I58" s="855"/>
      <c r="J58" s="855"/>
      <c r="K58" s="855"/>
      <c r="L58" s="855"/>
      <c r="M58" s="855"/>
      <c r="N58" s="855"/>
      <c r="O58" s="855"/>
      <c r="P58" s="855"/>
      <c r="Q58" s="855"/>
    </row>
    <row r="59" spans="2:18" ht="13.5" customHeight="1" hidden="1">
      <c r="B59" s="860" t="s">
        <v>173</v>
      </c>
      <c r="C59" s="860"/>
      <c r="D59" s="860"/>
      <c r="E59" s="860"/>
      <c r="F59" s="860"/>
      <c r="G59" s="860"/>
      <c r="H59" s="860"/>
      <c r="I59" s="860"/>
      <c r="J59" s="860"/>
      <c r="K59" s="860"/>
      <c r="L59" s="860"/>
      <c r="M59" s="860"/>
      <c r="N59" s="860"/>
      <c r="O59" s="860"/>
      <c r="P59" s="860"/>
      <c r="Q59" s="860"/>
      <c r="R59" s="443" t="s">
        <v>70</v>
      </c>
    </row>
    <row r="60" spans="2:17" ht="13.5" customHeight="1" hidden="1">
      <c r="B60" s="860"/>
      <c r="C60" s="860"/>
      <c r="D60" s="860"/>
      <c r="E60" s="860"/>
      <c r="F60" s="860"/>
      <c r="G60" s="860"/>
      <c r="H60" s="860"/>
      <c r="I60" s="860"/>
      <c r="J60" s="860"/>
      <c r="K60" s="860"/>
      <c r="L60" s="860"/>
      <c r="M60" s="860"/>
      <c r="N60" s="860"/>
      <c r="O60" s="860"/>
      <c r="P60" s="860"/>
      <c r="Q60" s="860"/>
    </row>
    <row r="61" ht="13.5" customHeight="1" hidden="1"/>
    <row r="62" spans="2:22" ht="13.5" customHeight="1" hidden="1">
      <c r="B62" s="854" t="s">
        <v>174</v>
      </c>
      <c r="C62" s="854"/>
      <c r="D62" s="854"/>
      <c r="E62" s="854"/>
      <c r="F62" s="854"/>
      <c r="G62" s="854"/>
      <c r="H62" s="854"/>
      <c r="I62" s="854"/>
      <c r="J62" s="854"/>
      <c r="K62" s="854"/>
      <c r="L62" s="854"/>
      <c r="M62" s="854"/>
      <c r="N62" s="854"/>
      <c r="O62" s="854"/>
      <c r="P62" s="854"/>
      <c r="Q62" s="854"/>
      <c r="R62" s="444" t="s">
        <v>170</v>
      </c>
      <c r="V62" s="357"/>
    </row>
    <row r="63" spans="2:22" ht="13.5" customHeight="1" hidden="1">
      <c r="B63" s="854"/>
      <c r="C63" s="854"/>
      <c r="D63" s="854"/>
      <c r="E63" s="854"/>
      <c r="F63" s="854"/>
      <c r="G63" s="854"/>
      <c r="H63" s="854"/>
      <c r="I63" s="854"/>
      <c r="J63" s="854"/>
      <c r="K63" s="854"/>
      <c r="L63" s="854"/>
      <c r="M63" s="854"/>
      <c r="N63" s="854"/>
      <c r="O63" s="854"/>
      <c r="P63" s="854"/>
      <c r="Q63" s="854"/>
      <c r="V63" s="357"/>
    </row>
    <row r="64" spans="2:22" ht="13.5" customHeight="1" hidden="1">
      <c r="B64" s="420"/>
      <c r="C64" s="420"/>
      <c r="D64" s="420"/>
      <c r="E64" s="420"/>
      <c r="F64" s="420"/>
      <c r="G64" s="420"/>
      <c r="H64" s="420"/>
      <c r="I64" s="420"/>
      <c r="J64" s="420"/>
      <c r="K64" s="420"/>
      <c r="L64" s="420"/>
      <c r="M64" s="420"/>
      <c r="N64" s="420"/>
      <c r="O64" s="420"/>
      <c r="P64" s="420"/>
      <c r="Q64" s="420"/>
      <c r="R64" s="445"/>
      <c r="V64" s="357"/>
    </row>
    <row r="65" spans="2:22" ht="13.5" customHeight="1" hidden="1">
      <c r="B65" s="855" t="s">
        <v>175</v>
      </c>
      <c r="C65" s="855"/>
      <c r="D65" s="855"/>
      <c r="E65" s="855"/>
      <c r="F65" s="855"/>
      <c r="G65" s="855"/>
      <c r="H65" s="855"/>
      <c r="I65" s="855"/>
      <c r="J65" s="855"/>
      <c r="K65" s="855"/>
      <c r="L65" s="855"/>
      <c r="M65" s="855"/>
      <c r="N65" s="855"/>
      <c r="O65" s="855"/>
      <c r="P65" s="855"/>
      <c r="Q65" s="855"/>
      <c r="R65" s="445" t="s">
        <v>172</v>
      </c>
      <c r="V65" s="357"/>
    </row>
    <row r="66" spans="2:22" ht="13.5" customHeight="1" hidden="1">
      <c r="B66" s="855"/>
      <c r="C66" s="855"/>
      <c r="D66" s="855"/>
      <c r="E66" s="855"/>
      <c r="F66" s="855"/>
      <c r="G66" s="855"/>
      <c r="H66" s="855"/>
      <c r="I66" s="855"/>
      <c r="J66" s="855"/>
      <c r="K66" s="855"/>
      <c r="L66" s="855"/>
      <c r="M66" s="855"/>
      <c r="N66" s="855"/>
      <c r="O66" s="855"/>
      <c r="P66" s="855"/>
      <c r="Q66" s="855"/>
      <c r="R66" s="443"/>
      <c r="V66" s="357"/>
    </row>
    <row r="67" ht="13.5" customHeight="1" hidden="1">
      <c r="V67" s="357"/>
    </row>
    <row r="68" spans="2:22" ht="13.5" customHeight="1" hidden="1">
      <c r="B68" s="443"/>
      <c r="C68" s="443"/>
      <c r="D68" s="443"/>
      <c r="E68" s="443"/>
      <c r="F68" s="443"/>
      <c r="G68" s="443"/>
      <c r="H68" s="443"/>
      <c r="I68" s="443"/>
      <c r="J68" s="443"/>
      <c r="K68" s="443"/>
      <c r="L68" s="443"/>
      <c r="M68" s="443"/>
      <c r="N68" s="443"/>
      <c r="O68" s="443"/>
      <c r="P68" s="443"/>
      <c r="Q68" s="443"/>
      <c r="R68" s="443"/>
      <c r="V68" s="357"/>
    </row>
    <row r="69" ht="13.5" customHeight="1" hidden="1"/>
    <row r="70" ht="13.5" customHeight="1" hidden="1"/>
    <row r="71" ht="13.5" customHeight="1"/>
    <row r="72" ht="13.5" customHeight="1"/>
    <row r="73" ht="13.5" customHeight="1"/>
    <row r="74" ht="13.5" customHeight="1"/>
    <row r="75" ht="13.5" customHeight="1"/>
    <row r="76" ht="13.5" customHeight="1"/>
    <row r="77" ht="13.5" customHeight="1"/>
  </sheetData>
  <sheetProtection password="EF77" sheet="1" objects="1" scenarios="1"/>
  <mergeCells count="12">
    <mergeCell ref="B3:S6"/>
    <mergeCell ref="G11:K11"/>
    <mergeCell ref="K13:Q13"/>
    <mergeCell ref="K14:Q15"/>
    <mergeCell ref="B62:Q63"/>
    <mergeCell ref="B65:Q66"/>
    <mergeCell ref="I13:I15"/>
    <mergeCell ref="B8:S9"/>
    <mergeCell ref="B44:Q48"/>
    <mergeCell ref="B50:Q53"/>
    <mergeCell ref="B55:Q58"/>
    <mergeCell ref="B59:Q60"/>
  </mergeCells>
  <hyperlinks>
    <hyperlink ref="B11" r:id="rId1" display="www.guven-kutay.ch"/>
  </hyperlink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3" r:id="rId2"/>
  <headerFooter alignWithMargins="0">
    <oddFooter>&amp;L&amp;F / &amp;A / &amp;D&amp;R Seite &amp;P von &amp;N</oddFooter>
  </headerFooter>
</worksheet>
</file>

<file path=xl/worksheets/sheet10.xml><?xml version="1.0" encoding="utf-8"?>
<worksheet xmlns="http://schemas.openxmlformats.org/spreadsheetml/2006/main" xmlns:r="http://schemas.openxmlformats.org/officeDocument/2006/relationships">
  <sheetPr codeName="Tabelle7"/>
  <dimension ref="A2:R36"/>
  <sheetViews>
    <sheetView showGridLines="0" showRowColHeaders="0" zoomScale="95" zoomScaleNormal="95" workbookViewId="0" topLeftCell="A1">
      <selection activeCell="G29" sqref="G29"/>
    </sheetView>
  </sheetViews>
  <sheetFormatPr defaultColWidth="11.421875" defaultRowHeight="12.75"/>
  <cols>
    <col min="1" max="1" width="3.7109375" style="2" customWidth="1"/>
    <col min="2" max="2" width="11.421875" style="2" customWidth="1"/>
    <col min="3" max="3" width="12.7109375" style="2" customWidth="1"/>
    <col min="4" max="5" width="7.140625" style="2" customWidth="1"/>
    <col min="6" max="6" width="1.7109375" style="2" customWidth="1"/>
    <col min="7" max="8" width="10.7109375" style="2" customWidth="1"/>
    <col min="9" max="9" width="1.7109375" style="2" customWidth="1"/>
    <col min="10" max="11" width="10.7109375" style="2" customWidth="1"/>
    <col min="12" max="12" width="1.7109375" style="2" customWidth="1"/>
    <col min="13" max="14" width="10.7109375" style="2" customWidth="1"/>
    <col min="15" max="15" width="1.7109375" style="2" customWidth="1"/>
    <col min="16" max="17" width="10.7109375" style="2" customWidth="1"/>
    <col min="18" max="18" width="1.7109375" style="2" customWidth="1"/>
    <col min="19" max="19" width="2.7109375" style="2" customWidth="1"/>
    <col min="20" max="31" width="10.421875" style="2" customWidth="1"/>
    <col min="32" max="16384" width="11.421875" style="2" customWidth="1"/>
  </cols>
  <sheetData>
    <row r="2" spans="1:18" ht="15" customHeight="1">
      <c r="A2" s="103"/>
      <c r="B2" s="23" t="str">
        <f>1!B1</f>
        <v>Proje :</v>
      </c>
      <c r="C2" s="804" t="str">
        <f>1!C1</f>
        <v>Takım tezgahı</v>
      </c>
      <c r="D2" s="804"/>
      <c r="E2" s="804"/>
      <c r="F2" s="804"/>
      <c r="G2" s="804"/>
      <c r="H2" s="804"/>
      <c r="I2" s="804"/>
      <c r="K2" s="401" t="str">
        <f>Info!B11</f>
        <v>www.guven-kutay.ch</v>
      </c>
      <c r="L2" s="1"/>
      <c r="M2" s="1"/>
      <c r="N2" s="18"/>
      <c r="O2" s="18"/>
      <c r="P2" s="355" t="str">
        <f>Info!N11</f>
        <v>Copyright : M. G. Kutay , Ver 10.02</v>
      </c>
      <c r="Q2" s="18"/>
      <c r="R2" s="18"/>
    </row>
    <row r="3" spans="1:18" ht="15" customHeight="1">
      <c r="A3" s="104"/>
      <c r="F3" s="1"/>
      <c r="G3" s="18"/>
      <c r="H3" s="18"/>
      <c r="I3" s="18"/>
      <c r="J3" s="18"/>
      <c r="K3" s="18"/>
      <c r="L3" s="18"/>
      <c r="M3" s="18"/>
      <c r="N3" s="18"/>
      <c r="O3" s="18"/>
      <c r="P3" s="18"/>
      <c r="Q3" s="18"/>
      <c r="R3" s="18"/>
    </row>
    <row r="4" spans="1:18" ht="15" customHeight="1">
      <c r="A4" s="104"/>
      <c r="B4" s="356" t="str">
        <f>0!X38</f>
        <v>8. Bütün İmalat ölçüleri </v>
      </c>
      <c r="F4" s="1"/>
      <c r="G4" s="18"/>
      <c r="H4" s="18"/>
      <c r="I4" s="18"/>
      <c r="J4" s="18"/>
      <c r="K4" s="18"/>
      <c r="L4" s="18"/>
      <c r="M4" s="18"/>
      <c r="N4" s="18"/>
      <c r="O4" s="18"/>
      <c r="P4" s="18"/>
      <c r="Q4" s="18"/>
      <c r="R4" s="18"/>
    </row>
    <row r="5" spans="1:18" ht="15" customHeight="1">
      <c r="A5" s="18"/>
      <c r="B5" s="18"/>
      <c r="C5" s="18"/>
      <c r="D5" s="18"/>
      <c r="E5" s="18"/>
      <c r="F5" s="18"/>
      <c r="G5" s="959" t="str">
        <f>1!F4</f>
        <v>1. Kademe</v>
      </c>
      <c r="H5" s="959"/>
      <c r="I5" s="18"/>
      <c r="J5" s="959" t="str">
        <f>1!G4</f>
        <v>2. Kademe</v>
      </c>
      <c r="K5" s="959"/>
      <c r="L5" s="18"/>
      <c r="M5" s="959" t="str">
        <f>1!H4</f>
        <v>3. Kademe</v>
      </c>
      <c r="N5" s="959"/>
      <c r="O5" s="18"/>
      <c r="P5" s="1"/>
      <c r="Q5" s="1"/>
      <c r="R5" s="18"/>
    </row>
    <row r="6" spans="1:18" ht="15" customHeight="1">
      <c r="A6" s="18"/>
      <c r="B6" s="8" t="str">
        <f>2!B5</f>
        <v>1. Temel değerler</v>
      </c>
      <c r="C6" s="18"/>
      <c r="D6" s="18"/>
      <c r="E6" s="18"/>
      <c r="F6" s="18"/>
      <c r="G6" s="97" t="str">
        <f>1!D18</f>
        <v>Pinyon</v>
      </c>
      <c r="H6" s="97" t="str">
        <f>1!D19</f>
        <v>Çark</v>
      </c>
      <c r="I6" s="18"/>
      <c r="J6" s="97" t="str">
        <f>IF(1!E4&lt;1.5,"",G6)</f>
        <v>Pinyon</v>
      </c>
      <c r="K6" s="97" t="str">
        <f>IF(1!E4&lt;1.5,"",H6)</f>
        <v>Çark</v>
      </c>
      <c r="L6" s="18"/>
      <c r="M6" s="97" t="str">
        <f>IF(1!E4&lt;2.5,"",G6)</f>
        <v>Pinyon</v>
      </c>
      <c r="N6" s="97" t="str">
        <f>IF(1!E4&lt;2.5,"",H6)</f>
        <v>Çark</v>
      </c>
      <c r="O6" s="7"/>
      <c r="P6" s="1"/>
      <c r="Q6" s="1"/>
      <c r="R6" s="18"/>
    </row>
    <row r="7" spans="1:18" ht="15" customHeight="1">
      <c r="A7" s="18"/>
      <c r="B7" s="20" t="str">
        <f>1!B11</f>
        <v>Diş sayısı</v>
      </c>
      <c r="C7" s="29"/>
      <c r="D7" s="115" t="s">
        <v>44</v>
      </c>
      <c r="E7" s="281"/>
      <c r="F7" s="18"/>
      <c r="G7" s="105">
        <f>2!D6</f>
        <v>12</v>
      </c>
      <c r="H7" s="106">
        <f>2!E6</f>
        <v>48</v>
      </c>
      <c r="I7" s="18"/>
      <c r="J7" s="105">
        <f>IF(1!E4&lt;1.5,"",1!G11)</f>
        <v>18</v>
      </c>
      <c r="K7" s="106">
        <f>IF(1!E4&lt;1.5,"",1!G12)</f>
        <v>78</v>
      </c>
      <c r="L7" s="18"/>
      <c r="M7" s="338">
        <f>IF(1!E4&lt;2.5,"",6!D6)</f>
        <v>16</v>
      </c>
      <c r="N7" s="339">
        <f>IF(1!E4&lt;2.5,"",6!E6)</f>
        <v>61</v>
      </c>
      <c r="O7" s="18"/>
      <c r="P7" s="1"/>
      <c r="Q7" s="1"/>
      <c r="R7" s="18"/>
    </row>
    <row r="8" spans="1:18" ht="15" customHeight="1">
      <c r="A8" s="18"/>
      <c r="B8" s="31" t="str">
        <f>1!B13</f>
        <v>Modül</v>
      </c>
      <c r="C8" s="26"/>
      <c r="D8" s="26" t="s">
        <v>60</v>
      </c>
      <c r="E8" s="282" t="s">
        <v>57</v>
      </c>
      <c r="F8" s="18"/>
      <c r="G8" s="107">
        <f>2!D7</f>
        <v>3</v>
      </c>
      <c r="H8" s="30"/>
      <c r="I8" s="18"/>
      <c r="J8" s="107">
        <f>IF(1!E4&lt;1.5,"",1!G13)</f>
        <v>5</v>
      </c>
      <c r="K8" s="30"/>
      <c r="L8" s="18"/>
      <c r="M8" s="107">
        <f>IF(1!E4&lt;2.5,"",6!D7)</f>
        <v>8</v>
      </c>
      <c r="N8" s="30"/>
      <c r="O8" s="18"/>
      <c r="P8" s="1"/>
      <c r="Q8" s="1"/>
      <c r="R8" s="18"/>
    </row>
    <row r="9" spans="1:18" ht="15" customHeight="1">
      <c r="A9" s="18"/>
      <c r="B9" s="31" t="str">
        <f>1!B14</f>
        <v>Kavrama açısı</v>
      </c>
      <c r="C9" s="26"/>
      <c r="D9" s="276" t="s">
        <v>58</v>
      </c>
      <c r="E9" s="283" t="s">
        <v>85</v>
      </c>
      <c r="F9" s="18"/>
      <c r="G9" s="960">
        <f>2!D8</f>
        <v>20</v>
      </c>
      <c r="H9" s="961"/>
      <c r="I9" s="18"/>
      <c r="J9" s="328">
        <f>IF(1!E4&lt;1.5,"",G9)</f>
        <v>20</v>
      </c>
      <c r="K9" s="108"/>
      <c r="L9" s="18"/>
      <c r="M9" s="328">
        <f>IF(1!E4&lt;2.5,"",6!D8)</f>
        <v>20</v>
      </c>
      <c r="N9" s="108"/>
      <c r="O9" s="18"/>
      <c r="P9" s="1"/>
      <c r="Q9" s="1"/>
      <c r="R9" s="18"/>
    </row>
    <row r="10" spans="1:18" ht="15" customHeight="1">
      <c r="A10" s="18"/>
      <c r="B10" s="31" t="str">
        <f>1!B17</f>
        <v>Helis açısı</v>
      </c>
      <c r="C10" s="26"/>
      <c r="D10" s="276" t="s">
        <v>8</v>
      </c>
      <c r="E10" s="283" t="s">
        <v>85</v>
      </c>
      <c r="F10" s="18"/>
      <c r="G10" s="966">
        <f>2!D10</f>
        <v>19.7246</v>
      </c>
      <c r="H10" s="967"/>
      <c r="I10" s="18"/>
      <c r="J10" s="109">
        <f>IF(1!E4&lt;1.5,"",1!G17)</f>
        <v>14.4775</v>
      </c>
      <c r="K10" s="30"/>
      <c r="L10" s="18"/>
      <c r="M10" s="109">
        <f>IF(1!E4&lt;2.5,"",6!D10)</f>
        <v>10.0787</v>
      </c>
      <c r="N10" s="30"/>
      <c r="O10" s="18"/>
      <c r="P10" s="1"/>
      <c r="Q10" s="1"/>
      <c r="R10" s="18"/>
    </row>
    <row r="11" spans="1:18" ht="15" customHeight="1">
      <c r="A11" s="18"/>
      <c r="B11" s="31" t="str">
        <f>1!B18</f>
        <v>Helis yönü</v>
      </c>
      <c r="C11" s="26"/>
      <c r="D11" s="26"/>
      <c r="E11" s="282"/>
      <c r="F11" s="18"/>
      <c r="G11" s="110" t="str">
        <f>2!D11</f>
        <v>sağ</v>
      </c>
      <c r="H11" s="111" t="str">
        <f>2!E11</f>
        <v>sol</v>
      </c>
      <c r="I11" s="18"/>
      <c r="J11" s="110" t="str">
        <f>IF(1!E4&lt;1.5,"",1!G18)</f>
        <v>sol</v>
      </c>
      <c r="K11" s="111" t="str">
        <f>IF(1!E4&lt;1.5,"",1!G19)</f>
        <v>sağ</v>
      </c>
      <c r="L11" s="18"/>
      <c r="M11" s="110" t="str">
        <f>IF(1!E4&lt;2.5,"",6!D11)</f>
        <v>sağ</v>
      </c>
      <c r="N11" s="111" t="str">
        <f>IF(1!E4&lt;2.5,"",6!E11)</f>
        <v>sol</v>
      </c>
      <c r="O11" s="18"/>
      <c r="P11" s="1"/>
      <c r="Q11" s="1"/>
      <c r="R11" s="18"/>
    </row>
    <row r="12" spans="1:18" ht="15" customHeight="1">
      <c r="A12" s="18"/>
      <c r="B12" s="31" t="str">
        <f>1!K22</f>
        <v>Dişli kalitesi</v>
      </c>
      <c r="C12" s="26"/>
      <c r="D12" s="26"/>
      <c r="E12" s="282"/>
      <c r="F12" s="18"/>
      <c r="G12" s="112" t="s">
        <v>3</v>
      </c>
      <c r="H12" s="113">
        <f>1!O22</f>
        <v>8</v>
      </c>
      <c r="I12" s="18"/>
      <c r="J12" s="112" t="str">
        <f>IF(1!E4&lt;1.5,"",G12)</f>
        <v>DIN</v>
      </c>
      <c r="K12" s="113">
        <f>IF(1!E4&lt;1.5,"",H12)</f>
        <v>8</v>
      </c>
      <c r="L12" s="18"/>
      <c r="M12" s="112" t="str">
        <f>IF(1!E4&lt;2.5,"",G12)</f>
        <v>DIN</v>
      </c>
      <c r="N12" s="113">
        <f>IF(1!E4&lt;2.5,"",H12)</f>
        <v>8</v>
      </c>
      <c r="O12" s="7"/>
      <c r="P12" s="1"/>
      <c r="Q12" s="1"/>
      <c r="R12" s="18"/>
    </row>
    <row r="13" spans="1:18" ht="15" customHeight="1">
      <c r="A13" s="18"/>
      <c r="B13" s="31" t="str">
        <f>1!B21</f>
        <v>Referans profili </v>
      </c>
      <c r="C13" s="26"/>
      <c r="D13" s="277"/>
      <c r="E13" s="284"/>
      <c r="F13" s="18"/>
      <c r="G13" s="968" t="str">
        <f>1!G21</f>
        <v>DIN 867</v>
      </c>
      <c r="H13" s="969"/>
      <c r="I13" s="18"/>
      <c r="J13" s="114" t="str">
        <f>IF(1!E4&lt;1.5,"",G13)</f>
        <v>DIN 867</v>
      </c>
      <c r="K13" s="30"/>
      <c r="L13" s="18"/>
      <c r="M13" s="114" t="str">
        <f>IF(1!E4&lt;2.5,"",G13)</f>
        <v>DIN 867</v>
      </c>
      <c r="N13" s="30"/>
      <c r="O13" s="18"/>
      <c r="P13" s="1"/>
      <c r="Q13" s="1"/>
      <c r="R13" s="18"/>
    </row>
    <row r="14" spans="1:18" ht="15" customHeight="1">
      <c r="A14" s="18"/>
      <c r="B14" s="31" t="str">
        <f>2!B30</f>
        <v>Taksimat dairesi</v>
      </c>
      <c r="C14" s="26"/>
      <c r="D14" s="26" t="s">
        <v>24</v>
      </c>
      <c r="E14" s="282" t="s">
        <v>57</v>
      </c>
      <c r="F14" s="18"/>
      <c r="G14" s="294">
        <f>2!D30</f>
        <v>38.24393513445797</v>
      </c>
      <c r="H14" s="89">
        <f>2!E30</f>
        <v>152.97574053783188</v>
      </c>
      <c r="I14" s="18"/>
      <c r="J14" s="294">
        <f>4!D30</f>
        <v>92.95159520455</v>
      </c>
      <c r="K14" s="89">
        <f>4!E30</f>
        <v>402.79024588638333</v>
      </c>
      <c r="L14" s="18"/>
      <c r="M14" s="336">
        <f>IF(1!E4&lt;2.5,"",6!D30)</f>
        <v>130.00621622184482</v>
      </c>
      <c r="N14" s="337">
        <f>IF(1!E4&lt;2.5,"",6!E30)</f>
        <v>495.64869934578337</v>
      </c>
      <c r="O14" s="18"/>
      <c r="P14" s="1"/>
      <c r="Q14" s="1"/>
      <c r="R14" s="18"/>
    </row>
    <row r="15" spans="1:18" ht="15" customHeight="1">
      <c r="A15" s="18"/>
      <c r="B15" s="31" t="str">
        <f>2!B29</f>
        <v>Seçilen profil kaydırması</v>
      </c>
      <c r="C15" s="26"/>
      <c r="D15" s="26" t="s">
        <v>66</v>
      </c>
      <c r="E15" s="282" t="s">
        <v>57</v>
      </c>
      <c r="F15" s="18"/>
      <c r="G15" s="329">
        <f>2!D29</f>
        <v>0.49</v>
      </c>
      <c r="H15" s="82">
        <f>2!E29</f>
        <v>-1.5356019834743093</v>
      </c>
      <c r="I15" s="18"/>
      <c r="J15" s="294">
        <f>IF(1!E4&lt;1.5,"",4!D29)</f>
        <v>0.25</v>
      </c>
      <c r="K15" s="330">
        <f>4!E29</f>
        <v>0.18840127289246428</v>
      </c>
      <c r="L15" s="18"/>
      <c r="M15" s="336">
        <f>IF(1!E4&lt;2.5,"",6!D29)</f>
        <v>0.25</v>
      </c>
      <c r="N15" s="337">
        <f>IF(1!E4&lt;2.5,"",6!D29)</f>
        <v>0.25</v>
      </c>
      <c r="O15" s="18"/>
      <c r="P15" s="1"/>
      <c r="Q15" s="1"/>
      <c r="R15" s="18"/>
    </row>
    <row r="16" spans="1:18" ht="15" customHeight="1">
      <c r="A16" s="18"/>
      <c r="B16" s="31" t="str">
        <f>2!B32</f>
        <v>Ölçülecek diş sayısı</v>
      </c>
      <c r="C16" s="26"/>
      <c r="D16" s="26" t="s">
        <v>46</v>
      </c>
      <c r="E16" s="282"/>
      <c r="F16" s="18"/>
      <c r="G16" s="73">
        <f>2!D32</f>
        <v>3</v>
      </c>
      <c r="H16" s="74">
        <f>2!E32</f>
        <v>7</v>
      </c>
      <c r="I16" s="18"/>
      <c r="J16" s="333">
        <f>4!D32</f>
        <v>3</v>
      </c>
      <c r="K16" s="334">
        <f>4!E32</f>
        <v>10</v>
      </c>
      <c r="L16" s="18"/>
      <c r="M16" s="333">
        <f>IF(1!E4&lt;2.5,"",6!D29)</f>
        <v>0.25</v>
      </c>
      <c r="N16" s="334">
        <f>IF(1!E4&lt;2.5,"",6!D29)</f>
        <v>0.25</v>
      </c>
      <c r="O16" s="18"/>
      <c r="P16" s="1"/>
      <c r="Q16" s="1"/>
      <c r="R16" s="18"/>
    </row>
    <row r="17" spans="1:18" ht="15" customHeight="1">
      <c r="A17" s="18"/>
      <c r="B17" s="86" t="str">
        <f>2!B33</f>
        <v>Kontrol ölçü değeri</v>
      </c>
      <c r="C17" s="26"/>
      <c r="D17" s="278" t="s">
        <v>131</v>
      </c>
      <c r="E17" s="285" t="s">
        <v>57</v>
      </c>
      <c r="F17" s="18"/>
      <c r="G17" s="69">
        <f>2!D33</f>
        <v>23.74549570875119</v>
      </c>
      <c r="H17" s="70">
        <f>2!E33</f>
        <v>56.811205028638255</v>
      </c>
      <c r="I17" s="18"/>
      <c r="J17" s="335">
        <f>4!D33</f>
        <v>39.13872083647718</v>
      </c>
      <c r="K17" s="268">
        <f>4!E33</f>
        <v>146.85939948165688</v>
      </c>
      <c r="L17" s="18"/>
      <c r="M17" s="335">
        <f>IF(1!E4&lt;2.5,"",6!D29)</f>
        <v>0.25</v>
      </c>
      <c r="N17" s="268">
        <f>IF(1!E4&lt;2.5,"",6!D29)</f>
        <v>0.25</v>
      </c>
      <c r="O17" s="18"/>
      <c r="P17" s="1"/>
      <c r="Q17" s="1"/>
      <c r="R17" s="18"/>
    </row>
    <row r="18" spans="1:18" ht="15" customHeight="1">
      <c r="A18" s="18"/>
      <c r="B18" s="21" t="str">
        <f>2!B34</f>
        <v>Toleransları</v>
      </c>
      <c r="C18" s="24"/>
      <c r="D18" s="279" t="s">
        <v>111</v>
      </c>
      <c r="E18" s="286" t="s">
        <v>57</v>
      </c>
      <c r="F18" s="18"/>
      <c r="G18" s="69">
        <f>2!D34</f>
        <v>-0.01785415979493226</v>
      </c>
      <c r="H18" s="70">
        <f>2!E34</f>
        <v>-0.03288924172750679</v>
      </c>
      <c r="I18" s="18"/>
      <c r="J18" s="335">
        <f>4!D34</f>
        <v>-0.01785415979493226</v>
      </c>
      <c r="K18" s="268">
        <f>4!E34</f>
        <v>-0.03288924172750679</v>
      </c>
      <c r="L18" s="18"/>
      <c r="M18" s="335">
        <f>IF(1!E4&lt;2.5,"",6!D29)</f>
        <v>0.25</v>
      </c>
      <c r="N18" s="268">
        <f>IF(1!E4&lt;2.5,"",6!D29)</f>
        <v>0.25</v>
      </c>
      <c r="O18" s="18"/>
      <c r="P18" s="1"/>
      <c r="Q18" s="1"/>
      <c r="R18" s="18"/>
    </row>
    <row r="19" spans="1:18" ht="15" customHeight="1">
      <c r="A19" s="18"/>
      <c r="B19" s="21"/>
      <c r="C19" s="24"/>
      <c r="D19" s="279" t="s">
        <v>112</v>
      </c>
      <c r="E19" s="286" t="s">
        <v>57</v>
      </c>
      <c r="F19" s="18"/>
      <c r="G19" s="69">
        <f>2!D35</f>
        <v>-0.04134647531457997</v>
      </c>
      <c r="H19" s="70">
        <f>2!E35</f>
        <v>-0.07047694655894313</v>
      </c>
      <c r="I19" s="18"/>
      <c r="J19" s="335">
        <f>4!D35</f>
        <v>-0.04134647531457997</v>
      </c>
      <c r="K19" s="268">
        <f>4!E35</f>
        <v>-0.07047694655894313</v>
      </c>
      <c r="L19" s="18"/>
      <c r="M19" s="335">
        <f>IF(1!E4&lt;2.5,"",6!D29)</f>
        <v>0.25</v>
      </c>
      <c r="N19" s="268">
        <f>IF(1!E4&lt;2.5,"",6!D29)</f>
        <v>0.25</v>
      </c>
      <c r="O19" s="18"/>
      <c r="P19" s="1"/>
      <c r="Q19" s="1"/>
      <c r="R19" s="18"/>
    </row>
    <row r="20" spans="1:18" ht="15" customHeight="1">
      <c r="A20" s="18"/>
      <c r="B20" s="21" t="str">
        <f>2!B36</f>
        <v>Üst ölçü değeri</v>
      </c>
      <c r="C20" s="24"/>
      <c r="D20" s="279" t="s">
        <v>113</v>
      </c>
      <c r="E20" s="286" t="s">
        <v>57</v>
      </c>
      <c r="F20" s="18"/>
      <c r="G20" s="69">
        <f>2!D36</f>
        <v>23.727641548956257</v>
      </c>
      <c r="H20" s="70">
        <f>2!E36</f>
        <v>56.778315786910746</v>
      </c>
      <c r="I20" s="18"/>
      <c r="J20" s="335">
        <f>4!D36</f>
        <v>39.12086667668225</v>
      </c>
      <c r="K20" s="268">
        <f>4!E36</f>
        <v>146.82651023992938</v>
      </c>
      <c r="L20" s="18"/>
      <c r="M20" s="335">
        <f>IF(1!E4&lt;2.5,"",6!D29)</f>
        <v>0.25</v>
      </c>
      <c r="N20" s="268">
        <f>IF(1!E4&lt;2.5,"",6!D29)</f>
        <v>0.25</v>
      </c>
      <c r="O20" s="18"/>
      <c r="P20" s="1"/>
      <c r="Q20" s="1"/>
      <c r="R20" s="18"/>
    </row>
    <row r="21" spans="1:18" ht="15" customHeight="1">
      <c r="A21" s="18"/>
      <c r="B21" s="21" t="str">
        <f>2!B37</f>
        <v>Alt ölçü değeri</v>
      </c>
      <c r="C21" s="24"/>
      <c r="D21" s="279" t="s">
        <v>114</v>
      </c>
      <c r="E21" s="286" t="s">
        <v>57</v>
      </c>
      <c r="F21" s="18"/>
      <c r="G21" s="69">
        <f>2!D37</f>
        <v>23.70414923343661</v>
      </c>
      <c r="H21" s="70">
        <f>2!E37</f>
        <v>56.740728082079315</v>
      </c>
      <c r="I21" s="18"/>
      <c r="J21" s="335">
        <f>4!D37</f>
        <v>39.09737436116259</v>
      </c>
      <c r="K21" s="268">
        <f>4!E37</f>
        <v>146.78892253509792</v>
      </c>
      <c r="L21" s="18"/>
      <c r="M21" s="335">
        <f>IF(1!E4&lt;2.5,"",6!D29)</f>
        <v>0.25</v>
      </c>
      <c r="N21" s="268">
        <f>IF(1!E4&lt;2.5,"",6!D29)</f>
        <v>0.25</v>
      </c>
      <c r="O21" s="18"/>
      <c r="P21" s="1"/>
      <c r="Q21" s="1"/>
      <c r="R21" s="18"/>
    </row>
    <row r="22" spans="1:18" ht="15" customHeight="1">
      <c r="A22" s="18"/>
      <c r="B22" s="31" t="str">
        <f>1!B20</f>
        <v>Eksenler arası mesafe</v>
      </c>
      <c r="C22" s="26"/>
      <c r="D22" s="26" t="s">
        <v>14</v>
      </c>
      <c r="E22" s="282" t="s">
        <v>57</v>
      </c>
      <c r="F22" s="18"/>
      <c r="G22" s="970">
        <f>2!D12</f>
        <v>91.92</v>
      </c>
      <c r="H22" s="971"/>
      <c r="I22" s="18"/>
      <c r="J22" s="331">
        <f>4!D12</f>
        <v>250</v>
      </c>
      <c r="K22" s="332"/>
      <c r="L22" s="18"/>
      <c r="M22" s="331">
        <f>IF(1!E4&lt;2.5,"",6!D29)</f>
        <v>0.25</v>
      </c>
      <c r="N22" s="332"/>
      <c r="O22" s="18"/>
      <c r="P22" s="1"/>
      <c r="Q22" s="1"/>
      <c r="R22" s="18"/>
    </row>
    <row r="23" spans="1:18" ht="15" customHeight="1">
      <c r="A23" s="18"/>
      <c r="B23" s="102" t="str">
        <f>2!B13</f>
        <v>Eksenler arası toleransı</v>
      </c>
      <c r="C23" s="28"/>
      <c r="D23" s="280" t="s">
        <v>132</v>
      </c>
      <c r="E23" s="287" t="s">
        <v>57</v>
      </c>
      <c r="F23" s="18"/>
      <c r="G23" s="962">
        <f>2!D13</f>
        <v>0.0145</v>
      </c>
      <c r="H23" s="963"/>
      <c r="I23" s="18"/>
      <c r="J23" s="962">
        <f>4!D13</f>
        <v>0.0145</v>
      </c>
      <c r="K23" s="963"/>
      <c r="L23" s="18"/>
      <c r="M23" s="962">
        <f>IF(1!E4&lt;2.5,"",6!D29)</f>
        <v>0.25</v>
      </c>
      <c r="N23" s="963"/>
      <c r="O23" s="18"/>
      <c r="P23" s="1"/>
      <c r="Q23" s="1"/>
      <c r="R23" s="18"/>
    </row>
    <row r="24" spans="1:18" ht="15" customHeight="1">
      <c r="A24" s="18"/>
      <c r="B24" s="8" t="str">
        <f>IF(Info!I13&gt;2.5,"Drawing information",IF(Info!I13&gt;1.5,"Zeichnungsangaben",IF(Info!I13&gt;0.5,"Resim değerleri","")))</f>
        <v>Resim değerleri</v>
      </c>
      <c r="C24" s="29"/>
      <c r="D24" s="18"/>
      <c r="E24" s="18"/>
      <c r="F24" s="18"/>
      <c r="G24" s="18"/>
      <c r="H24" s="18"/>
      <c r="I24" s="18"/>
      <c r="J24" s="18"/>
      <c r="K24" s="18"/>
      <c r="L24" s="18"/>
      <c r="M24" s="18"/>
      <c r="N24" s="18"/>
      <c r="O24" s="18"/>
      <c r="P24" s="1"/>
      <c r="Q24" s="1"/>
      <c r="R24" s="18"/>
    </row>
    <row r="25" spans="1:18" ht="15" customHeight="1">
      <c r="A25" s="18"/>
      <c r="B25" s="20" t="str">
        <f>1!B15</f>
        <v>Diş genişliği</v>
      </c>
      <c r="C25" s="29"/>
      <c r="D25" s="290" t="s">
        <v>8</v>
      </c>
      <c r="E25" s="291" t="s">
        <v>57</v>
      </c>
      <c r="F25" s="18"/>
      <c r="G25" s="295">
        <f>2!D9</f>
        <v>65</v>
      </c>
      <c r="H25" s="262">
        <f>2!E9</f>
        <v>60</v>
      </c>
      <c r="I25" s="18"/>
      <c r="J25" s="295">
        <f>4!D9</f>
        <v>113</v>
      </c>
      <c r="K25" s="295">
        <f>4!E9</f>
        <v>105</v>
      </c>
      <c r="L25" s="18"/>
      <c r="M25" s="340">
        <f>IF(1!E4&lt;2.5,"",6!D29)</f>
        <v>0.25</v>
      </c>
      <c r="N25" s="341">
        <f>IF(1!E4&lt;2.5,"",6!D29)</f>
        <v>0.25</v>
      </c>
      <c r="O25" s="18"/>
      <c r="P25" s="1"/>
      <c r="Q25" s="1"/>
      <c r="R25" s="18"/>
    </row>
    <row r="26" spans="1:18" ht="15" customHeight="1">
      <c r="A26" s="18"/>
      <c r="B26" s="102" t="str">
        <f>2!B31</f>
        <v>Diş üstü çapı</v>
      </c>
      <c r="C26" s="28"/>
      <c r="D26" s="293" t="s">
        <v>133</v>
      </c>
      <c r="E26" s="292" t="s">
        <v>57</v>
      </c>
      <c r="F26" s="18"/>
      <c r="G26" s="296">
        <f>2!D31</f>
        <v>46.07787136301398</v>
      </c>
      <c r="H26" s="297">
        <f>2!E31</f>
        <v>150.86819240843002</v>
      </c>
      <c r="I26" s="18"/>
      <c r="J26" s="296">
        <f>4!D31</f>
        <v>105.32574138469202</v>
      </c>
      <c r="K26" s="296">
        <f>4!E31</f>
        <v>414.54840479545</v>
      </c>
      <c r="L26" s="18"/>
      <c r="M26" s="342">
        <f>IF(1!E4&lt;2.5,"",6!D29)</f>
        <v>0.25</v>
      </c>
      <c r="N26" s="297">
        <f>IF(1!E4&lt;2.5,"",6!D29)</f>
        <v>0.25</v>
      </c>
      <c r="O26" s="18"/>
      <c r="P26" s="1"/>
      <c r="Q26" s="1"/>
      <c r="R26" s="18"/>
    </row>
    <row r="27" spans="1:18" ht="15" customHeight="1">
      <c r="A27" s="18"/>
      <c r="B27" s="8" t="str">
        <f>IF(Info!I13&gt;2.5,"Parts list information:",IF(Info!I13&gt;1.5,"Stücklisten-Angaben:",IF(Info!I13&gt;0.5,"Parça listesi değerleri","")))</f>
        <v>Parça listesi değerleri</v>
      </c>
      <c r="C27" s="18"/>
      <c r="D27" s="18"/>
      <c r="E27" s="18"/>
      <c r="F27" s="18"/>
      <c r="G27" s="18"/>
      <c r="H27" s="18"/>
      <c r="I27" s="18"/>
      <c r="J27" s="18"/>
      <c r="K27" s="18"/>
      <c r="L27" s="18"/>
      <c r="M27" s="18"/>
      <c r="N27" s="18"/>
      <c r="O27" s="18"/>
      <c r="P27" s="1"/>
      <c r="Q27" s="1"/>
      <c r="R27" s="18"/>
    </row>
    <row r="28" spans="1:18" ht="15" customHeight="1">
      <c r="A28" s="18"/>
      <c r="B28" s="20" t="str">
        <f>1!B25</f>
        <v>Malzeme</v>
      </c>
      <c r="C28" s="263" t="str">
        <f>IF(Info!I13&gt;2.5,"DIN-Name",IF(Info!I13&gt;1.5,"DIN- Name",IF(Info!I13&gt;0.5,"Kısa ismi","")))</f>
        <v>Kısa ismi</v>
      </c>
      <c r="D28" s="247"/>
      <c r="E28" s="288"/>
      <c r="F28" s="18"/>
      <c r="G28" s="105" t="str">
        <f>1!F25</f>
        <v>42CrMo4</v>
      </c>
      <c r="H28" s="106" t="str">
        <f>1!F26</f>
        <v>42CrMo4</v>
      </c>
      <c r="I28" s="18"/>
      <c r="J28" s="105" t="str">
        <f>IF(1!E4&lt;1.5,"",1!G25)</f>
        <v>42CrMo4</v>
      </c>
      <c r="K28" s="106" t="str">
        <f>IF(1!E4&lt;1.5,"",1!G26)</f>
        <v>42CrMo4</v>
      </c>
      <c r="L28" s="18"/>
      <c r="M28" s="105" t="str">
        <f>IF(1!E4&lt;2.5,"",1!H25)</f>
        <v>42CrMo4</v>
      </c>
      <c r="N28" s="106" t="str">
        <f>IF(1!E4&lt;2.5,"",1!H26)</f>
        <v>42CrMo4</v>
      </c>
      <c r="O28" s="18"/>
      <c r="P28" s="1"/>
      <c r="Q28" s="1"/>
      <c r="R28" s="18"/>
    </row>
    <row r="29" spans="1:18" ht="15" customHeight="1">
      <c r="A29" s="18"/>
      <c r="B29" s="964"/>
      <c r="C29" s="185" t="str">
        <f>IF(Info!I13&gt;2.5,"Materialnumber",IF(Info!I13&gt;1.5,"Werkstoffnummer",IF(Info!I13&gt;0.5,"DIN-Malzeme Numarası","")))</f>
        <v>DIN-Malzeme Numarası</v>
      </c>
      <c r="D29" s="185"/>
      <c r="E29" s="289"/>
      <c r="F29" s="18"/>
      <c r="G29" s="791"/>
      <c r="H29" s="792"/>
      <c r="I29" s="790"/>
      <c r="J29" s="791"/>
      <c r="K29" s="792"/>
      <c r="L29" s="790"/>
      <c r="M29" s="791"/>
      <c r="N29" s="792"/>
      <c r="O29" s="18"/>
      <c r="P29" s="1"/>
      <c r="Q29" s="1"/>
      <c r="R29" s="18"/>
    </row>
    <row r="30" spans="1:18" ht="15" customHeight="1">
      <c r="A30" s="18"/>
      <c r="B30" s="964"/>
      <c r="C30" s="185" t="str">
        <f>IF(Info!I13&gt;2.5,"Processing",IF(Info!I13&gt;1.5,"Behandlung",IF(Info!I13&gt;0.5,"Isıl işleme","")))</f>
        <v>Isıl işleme</v>
      </c>
      <c r="D30" s="185"/>
      <c r="E30" s="289"/>
      <c r="F30" s="18"/>
      <c r="G30" s="791"/>
      <c r="H30" s="792"/>
      <c r="I30" s="790"/>
      <c r="J30" s="791"/>
      <c r="K30" s="792"/>
      <c r="L30" s="790"/>
      <c r="M30" s="791"/>
      <c r="N30" s="792"/>
      <c r="O30" s="18"/>
      <c r="P30" s="1"/>
      <c r="Q30" s="1"/>
      <c r="R30" s="18"/>
    </row>
    <row r="31" spans="1:18" ht="15" customHeight="1">
      <c r="A31" s="18"/>
      <c r="B31" s="964"/>
      <c r="C31" s="185" t="str">
        <f>IF(Info!I13&gt;2.5,"Hardness",IF(Info!I13&gt;1.5,"Härte",IF(Info!I13&gt;0.5,"Sertlik","")))</f>
        <v>Sertlik</v>
      </c>
      <c r="D31" s="185"/>
      <c r="E31" s="289"/>
      <c r="F31" s="18"/>
      <c r="G31" s="116">
        <f>1!F35</f>
        <v>525</v>
      </c>
      <c r="H31" s="117">
        <f>1!F36</f>
        <v>525</v>
      </c>
      <c r="I31" s="8"/>
      <c r="J31" s="116">
        <f>IF(1!E4&lt;1.5,"",1!G35)</f>
        <v>525</v>
      </c>
      <c r="K31" s="117">
        <f>IF(1!E4&lt;1.5,"",1!G36)</f>
        <v>525</v>
      </c>
      <c r="L31" s="8"/>
      <c r="M31" s="116">
        <f>IF(1!E4&lt;2.5,"",1!H35)</f>
        <v>525</v>
      </c>
      <c r="N31" s="117">
        <f>IF(1!E4&lt;2.5,"",1!H36)</f>
        <v>525</v>
      </c>
      <c r="O31" s="18"/>
      <c r="P31" s="1"/>
      <c r="Q31" s="1"/>
      <c r="R31" s="18"/>
    </row>
    <row r="32" spans="1:18" ht="15" customHeight="1">
      <c r="A32" s="18"/>
      <c r="B32" s="965"/>
      <c r="C32" s="28" t="str">
        <f>IF(Info!I13&gt;2.5,"Hardness depth",IF(Info!I13&gt;1.5,"Härtetiefe",IF(Info!I13&gt;0.5,"Sertlik derinliği","")))</f>
        <v>Sertlik derinliği</v>
      </c>
      <c r="D32" s="28"/>
      <c r="E32" s="60"/>
      <c r="F32" s="18"/>
      <c r="G32" s="793">
        <v>0.5</v>
      </c>
      <c r="H32" s="794">
        <v>0.5</v>
      </c>
      <c r="I32" s="790"/>
      <c r="J32" s="793">
        <v>0.5</v>
      </c>
      <c r="K32" s="794">
        <v>0.5</v>
      </c>
      <c r="L32" s="790"/>
      <c r="M32" s="793">
        <v>0.5</v>
      </c>
      <c r="N32" s="794">
        <v>0.5</v>
      </c>
      <c r="O32" s="18"/>
      <c r="P32" s="1"/>
      <c r="Q32" s="1"/>
      <c r="R32" s="18"/>
    </row>
    <row r="33" spans="1:18" ht="15" customHeight="1">
      <c r="A33" s="18"/>
      <c r="B33" s="18"/>
      <c r="C33" s="18"/>
      <c r="D33" s="18"/>
      <c r="E33" s="18"/>
      <c r="F33" s="18"/>
      <c r="G33" s="18"/>
      <c r="H33" s="18"/>
      <c r="I33" s="18"/>
      <c r="J33" s="18"/>
      <c r="K33" s="18"/>
      <c r="L33" s="18"/>
      <c r="M33" s="18"/>
      <c r="N33" s="18"/>
      <c r="O33" s="18"/>
      <c r="P33" s="1"/>
      <c r="Q33" s="1"/>
      <c r="R33" s="18"/>
    </row>
    <row r="34" spans="1:18" ht="15" customHeight="1">
      <c r="A34" s="18"/>
      <c r="B34" s="119" t="str">
        <f>2!F39</f>
        <v>Düşünceler :</v>
      </c>
      <c r="C34" s="118"/>
      <c r="D34" s="118"/>
      <c r="E34" s="118"/>
      <c r="F34" s="118"/>
      <c r="G34" s="118"/>
      <c r="H34" s="118"/>
      <c r="I34" s="118"/>
      <c r="J34" s="118"/>
      <c r="K34" s="118"/>
      <c r="L34" s="118"/>
      <c r="M34" s="118"/>
      <c r="N34" s="118"/>
      <c r="O34" s="118"/>
      <c r="P34" s="1"/>
      <c r="Q34" s="1"/>
      <c r="R34" s="18"/>
    </row>
    <row r="35" spans="1:18" ht="15" customHeight="1">
      <c r="A35" s="18"/>
      <c r="B35" s="18"/>
      <c r="C35" s="118"/>
      <c r="D35" s="118"/>
      <c r="E35" s="118"/>
      <c r="F35" s="118"/>
      <c r="G35" s="118"/>
      <c r="H35" s="118"/>
      <c r="I35" s="118"/>
      <c r="J35" s="118"/>
      <c r="K35" s="118"/>
      <c r="L35" s="118"/>
      <c r="M35" s="118"/>
      <c r="N35" s="118"/>
      <c r="O35" s="118"/>
      <c r="P35" s="1"/>
      <c r="Q35" s="1"/>
      <c r="R35" s="18"/>
    </row>
    <row r="36" spans="1:18" ht="15" customHeight="1">
      <c r="A36" s="18"/>
      <c r="B36" s="18"/>
      <c r="C36" s="18"/>
      <c r="D36" s="18"/>
      <c r="E36" s="18"/>
      <c r="F36" s="18"/>
      <c r="G36" s="18"/>
      <c r="H36" s="18"/>
      <c r="I36" s="18"/>
      <c r="J36" s="18"/>
      <c r="K36" s="18"/>
      <c r="L36" s="18"/>
      <c r="M36" s="18"/>
      <c r="N36" s="18"/>
      <c r="O36" s="18"/>
      <c r="P36" s="1"/>
      <c r="Q36" s="1"/>
      <c r="R36" s="18"/>
    </row>
    <row r="37" ht="15" customHeight="1"/>
    <row r="38" ht="15" customHeight="1"/>
    <row r="39" ht="15" customHeight="1"/>
    <row r="40" ht="15" customHeight="1"/>
    <row r="41" ht="15" customHeight="1"/>
    <row r="42" ht="15" customHeight="1"/>
    <row r="43" ht="15" customHeight="1"/>
    <row r="44" ht="15" customHeight="1"/>
    <row r="45" ht="15" customHeight="1"/>
  </sheetData>
  <sheetProtection password="EF77" sheet="1" objects="1" scenarios="1"/>
  <mergeCells count="11">
    <mergeCell ref="M23:N23"/>
    <mergeCell ref="G23:H23"/>
    <mergeCell ref="B29:B32"/>
    <mergeCell ref="G10:H10"/>
    <mergeCell ref="G13:H13"/>
    <mergeCell ref="G22:H22"/>
    <mergeCell ref="J23:K23"/>
    <mergeCell ref="G5:H5"/>
    <mergeCell ref="J5:K5"/>
    <mergeCell ref="M5:N5"/>
    <mergeCell ref="G9:H9"/>
  </mergeCells>
  <printOptions horizontalCentered="1" verticalCentered="1"/>
  <pageMargins left="0.3937007874015748" right="0.3937007874015748" top="0.984251968503937" bottom="0.984251968503937" header="0.5118110236220472" footer="0.5118110236220472"/>
  <pageSetup blackAndWhite="1" horizontalDpi="300" verticalDpi="300" orientation="landscape" paperSize="9" scale="85" r:id="rId3"/>
  <headerFooter alignWithMargins="0">
    <oddFooter>&amp;L&amp;F / &amp;A / &amp;D&amp;RSeite &amp;P von &amp;N</oddFooter>
  </headerFooter>
  <legacyDrawing r:id="rId2"/>
  <oleObjects>
    <oleObject progId="AutoCAD.Drawing.15" shapeId="2140264" r:id="rId1"/>
  </oleObjects>
</worksheet>
</file>

<file path=xl/worksheets/sheet11.xml><?xml version="1.0" encoding="utf-8"?>
<worksheet xmlns="http://schemas.openxmlformats.org/spreadsheetml/2006/main" xmlns:r="http://schemas.openxmlformats.org/officeDocument/2006/relationships">
  <sheetPr codeName="Tabelle6"/>
  <dimension ref="A1:Z45"/>
  <sheetViews>
    <sheetView showGridLines="0" zoomScale="85" zoomScaleNormal="85" workbookViewId="0" topLeftCell="A1">
      <selection activeCell="W27" sqref="W27"/>
    </sheetView>
  </sheetViews>
  <sheetFormatPr defaultColWidth="11.421875" defaultRowHeight="15" customHeight="1"/>
  <cols>
    <col min="1" max="5" width="4.28125" style="1" customWidth="1"/>
    <col min="6" max="15" width="9.7109375" style="1" customWidth="1"/>
    <col min="16" max="16" width="1.7109375" style="1" customWidth="1"/>
    <col min="17" max="22" width="5.28125" style="1" customWidth="1"/>
    <col min="23" max="23" width="9.7109375" style="1" customWidth="1"/>
    <col min="24" max="24" width="2.7109375" style="1" customWidth="1"/>
    <col min="25" max="25" width="10.421875" style="1" customWidth="1"/>
    <col min="26" max="26" width="5.7109375" style="1" customWidth="1"/>
    <col min="27" max="27" width="28.57421875" style="1" customWidth="1"/>
    <col min="28" max="16384" width="11.421875" style="1" customWidth="1"/>
  </cols>
  <sheetData>
    <row r="1" spans="2:23" ht="15" customHeight="1">
      <c r="B1" s="993" t="str">
        <f>0!C104</f>
        <v>Proje :</v>
      </c>
      <c r="C1" s="993"/>
      <c r="D1" s="993"/>
      <c r="E1" s="1006" t="str">
        <f>1!C1</f>
        <v>Takım tezgahı</v>
      </c>
      <c r="F1" s="1006"/>
      <c r="G1" s="1006"/>
      <c r="H1" s="6"/>
      <c r="I1" s="33"/>
      <c r="J1" s="33"/>
      <c r="L1" s="401" t="str">
        <f>Info!B11</f>
        <v>www.guven-kutay.ch</v>
      </c>
      <c r="P1" s="355" t="str">
        <f>Info!N11</f>
        <v>Copyright : M. G. Kutay , Ver 10.02</v>
      </c>
      <c r="S1" s="18"/>
      <c r="T1" s="18"/>
      <c r="W1" s="18"/>
    </row>
    <row r="2" spans="2:23" ht="6.75" customHeight="1">
      <c r="B2" s="120"/>
      <c r="C2" s="120"/>
      <c r="D2" s="120"/>
      <c r="L2" s="401"/>
      <c r="R2" s="355"/>
      <c r="S2" s="18"/>
      <c r="T2" s="18"/>
      <c r="W2" s="18"/>
    </row>
    <row r="3" spans="2:23" ht="15" customHeight="1">
      <c r="B3" s="120"/>
      <c r="C3" s="322" t="str">
        <f>0!AF38</f>
        <v>9- Toleranslar ve Wk-Toleransları</v>
      </c>
      <c r="D3" s="120"/>
      <c r="L3" s="401"/>
      <c r="R3" s="355"/>
      <c r="S3" s="18"/>
      <c r="T3" s="18"/>
      <c r="W3" s="18"/>
    </row>
    <row r="4" spans="2:23" ht="6.75" customHeight="1">
      <c r="B4" s="120"/>
      <c r="C4" s="322"/>
      <c r="D4" s="120"/>
      <c r="L4" s="401"/>
      <c r="R4" s="355"/>
      <c r="S4" s="18"/>
      <c r="T4" s="18"/>
      <c r="W4" s="18"/>
    </row>
    <row r="5" spans="5:11" ht="15" customHeight="1">
      <c r="E5" s="18"/>
      <c r="F5" s="10" t="str">
        <f>IF(Info!I13&gt;2.5,"Center distance",IF(Info!I13&gt;1.5,"Achsabstandabmasse  Aa  nach DIN 3964 (Auszug)",IF(Info!I13&gt;0.5,"Alın dişliler için Eksenler arası mesafesi toleransı Aa (DIN 3964)","")))</f>
        <v>Alın dişliler için Eksenler arası mesafesi toleransı Aa (DIN 3964)</v>
      </c>
      <c r="G5" s="18"/>
      <c r="H5" s="18"/>
      <c r="I5" s="18"/>
      <c r="J5" s="18"/>
      <c r="K5" s="18"/>
    </row>
    <row r="6" spans="3:22" ht="15" customHeight="1">
      <c r="C6" s="1007" t="s">
        <v>161</v>
      </c>
      <c r="D6" s="1008" t="s">
        <v>160</v>
      </c>
      <c r="E6" s="1009" t="s">
        <v>150</v>
      </c>
      <c r="F6" s="362" t="s">
        <v>14</v>
      </c>
      <c r="G6" s="363">
        <f>IF(Q7&gt;5.5,"",IF(Q7&lt;4.5,"","XXXXXX"))</f>
      </c>
      <c r="H6" s="363" t="str">
        <f>IF(Q7&gt;6.5,"",IF(Q7&lt;5.5,"","XXXXXX"))</f>
        <v>XXXXXX</v>
      </c>
      <c r="I6" s="363">
        <f>IF(Q7&gt;7.5,"",IF(Q7&lt;6.5,"","XXXXXX"))</f>
      </c>
      <c r="J6" s="363">
        <f>IF(Q7&gt;8.5,"",IF(Q7&lt;7.5,"","XXXXXX"))</f>
      </c>
      <c r="K6" s="364">
        <f>IF(Q7&gt;9.5,"",IF(Q7&lt;8.5,"","XXXXXX"))</f>
      </c>
      <c r="M6" s="1004" t="str">
        <f>1!C3</f>
        <v>Kullanıldığı yer</v>
      </c>
      <c r="N6" s="1005"/>
      <c r="O6" s="1005"/>
      <c r="P6" s="1005"/>
      <c r="Q6" s="1000" t="s">
        <v>549</v>
      </c>
      <c r="R6" s="1001"/>
      <c r="S6" s="972" t="s">
        <v>550</v>
      </c>
      <c r="T6" s="994"/>
      <c r="U6" s="1002" t="s">
        <v>551</v>
      </c>
      <c r="V6" s="1003"/>
    </row>
    <row r="7" spans="3:22" ht="15" customHeight="1">
      <c r="C7" s="1007"/>
      <c r="D7" s="1008"/>
      <c r="E7" s="1009"/>
      <c r="F7" s="133" t="s">
        <v>18</v>
      </c>
      <c r="G7" s="84" t="s">
        <v>19</v>
      </c>
      <c r="H7" s="84" t="s">
        <v>20</v>
      </c>
      <c r="I7" s="84" t="s">
        <v>21</v>
      </c>
      <c r="J7" s="84" t="s">
        <v>22</v>
      </c>
      <c r="K7" s="85" t="s">
        <v>23</v>
      </c>
      <c r="M7" s="1012" t="str">
        <f>1!F3</f>
        <v>Takım tezgahı</v>
      </c>
      <c r="N7" s="1013"/>
      <c r="O7" s="1013"/>
      <c r="P7" s="1014"/>
      <c r="Q7" s="1015">
        <v>6</v>
      </c>
      <c r="R7" s="1016"/>
      <c r="S7" s="1010" t="s">
        <v>12</v>
      </c>
      <c r="T7" s="1011"/>
      <c r="U7" s="1010">
        <v>24</v>
      </c>
      <c r="V7" s="845"/>
    </row>
    <row r="8" spans="3:11" ht="15" customHeight="1">
      <c r="C8" s="365">
        <f>IF(1!E4&lt;2.5,"",IF(AND(J20&lt;18.05,J20&gt;10),"==&gt;",""))</f>
      </c>
      <c r="D8" s="366">
        <f>IF(1!E4&lt;1.5,"",IF(AND(H20&lt;18.05,H20&gt;10),"==&gt;",""))</f>
      </c>
      <c r="E8" s="367">
        <f>IF(AND(F20&lt;18.05,F20&gt;10),"==&gt;","")</f>
      </c>
      <c r="F8" s="134" t="s">
        <v>25</v>
      </c>
      <c r="G8" s="721">
        <v>0.004</v>
      </c>
      <c r="H8" s="721">
        <v>0.0055</v>
      </c>
      <c r="I8" s="721">
        <v>0.009</v>
      </c>
      <c r="J8" s="721">
        <v>0.013</v>
      </c>
      <c r="K8" s="722">
        <v>0.021</v>
      </c>
    </row>
    <row r="9" spans="3:11" ht="15" customHeight="1">
      <c r="C9" s="365">
        <f>IF(1!E4&lt;2.5,"",IF(AND(J20&lt;30.05,J20&gt;18),"==&gt;",""))</f>
      </c>
      <c r="D9" s="366">
        <f>IF(1!E4&lt;1.5,"",IF(AND(H20&lt;30.05,H20&gt;18),"==&gt;",""))</f>
      </c>
      <c r="E9" s="367">
        <f>IF(AND(F20&lt;30.05,F20&gt;18),"==&gt;","")</f>
      </c>
      <c r="F9" s="87" t="s">
        <v>2</v>
      </c>
      <c r="G9" s="723">
        <v>0.0045</v>
      </c>
      <c r="H9" s="723">
        <v>0.0065</v>
      </c>
      <c r="I9" s="723">
        <v>0.01</v>
      </c>
      <c r="J9" s="723">
        <v>0.016</v>
      </c>
      <c r="K9" s="724">
        <v>0.026</v>
      </c>
    </row>
    <row r="10" spans="3:22" ht="15" customHeight="1">
      <c r="C10" s="365">
        <f>IF(1!E4&lt;2.5,"",IF(AND(J20&lt;50.05,J20&gt;30),"==&gt;",""))</f>
      </c>
      <c r="D10" s="366">
        <f>IF(1!E4&lt;1.5,"",IF(AND(H20&lt;50.05,H20&gt;30),"==&gt;",""))</f>
      </c>
      <c r="E10" s="367">
        <f>IF(AND(F20&lt;50.05,F20&gt;30),"==&gt;","")</f>
      </c>
      <c r="F10" s="134" t="s">
        <v>1</v>
      </c>
      <c r="G10" s="721">
        <v>0.0055</v>
      </c>
      <c r="H10" s="721">
        <v>0.008</v>
      </c>
      <c r="I10" s="721">
        <v>0.012</v>
      </c>
      <c r="J10" s="721">
        <v>0.019</v>
      </c>
      <c r="K10" s="722">
        <v>0.031</v>
      </c>
      <c r="M10" s="10" t="str">
        <f>IF(Info!I13&gt;2.5,"Selection criteria after Seifert of the tolerances for center distance and of pitches",IF(Info!I13&gt;1.5,"Auswahlkriterien der Toleranzen für Achsabstand und Zahnweiten nach Seifert",IF(Info!I13&gt;0.5,"Seifert e göre Tolerans seçim kılavuzu","")))</f>
        <v>Seifert e göre Tolerans seçim kılavuzu</v>
      </c>
      <c r="N10" s="18"/>
      <c r="P10" s="18"/>
      <c r="V10" s="18"/>
    </row>
    <row r="11" spans="3:22" ht="15" customHeight="1">
      <c r="C11" s="365">
        <f>IF(1!E4&lt;2.5,"",IF(AND(J20&lt;80.05,J20&gt;50),"==&gt;",""))</f>
      </c>
      <c r="D11" s="366">
        <f>IF(1!E4&lt;1.5,"",IF(AND(H20&lt;80.05,H20&gt;50),"==&gt;",""))</f>
      </c>
      <c r="E11" s="367">
        <f>IF(AND(F20&lt;80.05,F20&gt;50),"==&gt;","")</f>
      </c>
      <c r="F11" s="87" t="s">
        <v>27</v>
      </c>
      <c r="G11" s="723">
        <v>0.0065</v>
      </c>
      <c r="H11" s="723">
        <v>0.0095</v>
      </c>
      <c r="I11" s="723">
        <v>0.015</v>
      </c>
      <c r="J11" s="723">
        <v>0.023</v>
      </c>
      <c r="K11" s="724">
        <v>0.037</v>
      </c>
      <c r="M11" s="20" t="str">
        <f>1!C3</f>
        <v>Kullanıldığı yer</v>
      </c>
      <c r="N11" s="29"/>
      <c r="O11" s="368"/>
      <c r="P11" s="29"/>
      <c r="Q11" s="972" t="s">
        <v>549</v>
      </c>
      <c r="R11" s="972"/>
      <c r="S11" s="972" t="s">
        <v>550</v>
      </c>
      <c r="T11" s="972"/>
      <c r="U11" s="972" t="s">
        <v>551</v>
      </c>
      <c r="V11" s="973"/>
    </row>
    <row r="12" spans="3:22" ht="15" customHeight="1">
      <c r="C12" s="365">
        <f>IF(1!E4&lt;2.5,"",IF(AND(J20&lt;120.05,J20&gt;80),"==&gt;",""))</f>
      </c>
      <c r="D12" s="366">
        <f>IF(1!E4&lt;1.5,"",IF(AND(H20&lt;120.05,H20&gt;80),"==&gt;",""))</f>
      </c>
      <c r="E12" s="367" t="str">
        <f>IF(AND(F20&lt;120.05,F20&gt;80),"==&gt;","")</f>
        <v>==&gt;</v>
      </c>
      <c r="F12" s="134" t="s">
        <v>28</v>
      </c>
      <c r="G12" s="721">
        <v>0.0075</v>
      </c>
      <c r="H12" s="721">
        <v>0.011</v>
      </c>
      <c r="I12" s="721">
        <v>0.017</v>
      </c>
      <c r="J12" s="721">
        <v>0.027</v>
      </c>
      <c r="K12" s="722">
        <v>0.043</v>
      </c>
      <c r="M12" s="83" t="str">
        <f>0!C44</f>
        <v>Genel makina tahrikleri</v>
      </c>
      <c r="N12" s="98"/>
      <c r="O12" s="369"/>
      <c r="P12" s="98"/>
      <c r="Q12" s="976" t="s">
        <v>9</v>
      </c>
      <c r="R12" s="976"/>
      <c r="S12" s="976" t="s">
        <v>8</v>
      </c>
      <c r="T12" s="976"/>
      <c r="U12" s="976">
        <v>26</v>
      </c>
      <c r="V12" s="1021"/>
    </row>
    <row r="13" spans="3:22" ht="15" customHeight="1">
      <c r="C13" s="365">
        <f>IF(1!E4&lt;2.5,"",IF(AND(J20&lt;180.05,J20&gt;120),"==&gt;",""))</f>
      </c>
      <c r="D13" s="366">
        <f>IF(1!E4&lt;1.5,"",IF(AND(H20&lt;180.05,H20&gt;120),"==&gt;",""))</f>
      </c>
      <c r="E13" s="367">
        <f>IF(AND(F20&lt;180.05,F20&gt;120),"==&gt;","")</f>
      </c>
      <c r="F13" s="87" t="s">
        <v>29</v>
      </c>
      <c r="G13" s="723">
        <v>0.009</v>
      </c>
      <c r="H13" s="723">
        <v>0.012</v>
      </c>
      <c r="I13" s="723">
        <v>0.02</v>
      </c>
      <c r="J13" s="723">
        <v>0.031</v>
      </c>
      <c r="K13" s="724">
        <v>0.05</v>
      </c>
      <c r="M13" s="132" t="str">
        <f>0!C60</f>
        <v>Makas tahrikleri, Yürüyüş tahrikleri</v>
      </c>
      <c r="N13" s="99"/>
      <c r="O13" s="370"/>
      <c r="P13" s="99"/>
      <c r="Q13" s="974" t="s">
        <v>11</v>
      </c>
      <c r="R13" s="974"/>
      <c r="S13" s="974" t="s">
        <v>10</v>
      </c>
      <c r="T13" s="974"/>
      <c r="U13" s="974">
        <v>25</v>
      </c>
      <c r="V13" s="975"/>
    </row>
    <row r="14" spans="3:22" ht="15" customHeight="1">
      <c r="C14" s="365">
        <f>IF(1!E4&lt;2.5,"",IF(AND(J20&lt;250.05,J20&gt;180),"==&gt;",""))</f>
      </c>
      <c r="D14" s="366" t="str">
        <f>IF(1!E4&lt;1.5,"",IF(AND(H20&lt;250.05,H20&gt;180),"==&gt;",""))</f>
        <v>==&gt;</v>
      </c>
      <c r="E14" s="367">
        <f>IF(AND(F20&lt;250.05,F20&gt;180),"==&gt;","")</f>
      </c>
      <c r="F14" s="134" t="s">
        <v>30</v>
      </c>
      <c r="G14" s="721">
        <v>0.01</v>
      </c>
      <c r="H14" s="721">
        <v>0.0145</v>
      </c>
      <c r="I14" s="721">
        <v>0.023</v>
      </c>
      <c r="J14" s="721">
        <v>0.036</v>
      </c>
      <c r="K14" s="722">
        <v>0.057</v>
      </c>
      <c r="M14" s="83" t="str">
        <f>0!C136</f>
        <v>Takım ve imalat makinaları</v>
      </c>
      <c r="N14" s="98"/>
      <c r="O14" s="369"/>
      <c r="P14" s="98"/>
      <c r="Q14" s="976" t="s">
        <v>11</v>
      </c>
      <c r="R14" s="976"/>
      <c r="S14" s="976" t="s">
        <v>12</v>
      </c>
      <c r="T14" s="976"/>
      <c r="U14" s="976" t="s">
        <v>13</v>
      </c>
      <c r="V14" s="1021"/>
    </row>
    <row r="15" spans="3:25" ht="13.5" customHeight="1">
      <c r="C15" s="365" t="str">
        <f>IF(1!E4&lt;2.5,"",IF(AND(J20&lt;315.05,J20&gt;250),"==&gt;",""))</f>
        <v>==&gt;</v>
      </c>
      <c r="D15" s="366">
        <f>IF(1!E4&lt;1.5,"",IF(AND(H20&lt;315.05,H20&gt;250),"==&gt;",""))</f>
      </c>
      <c r="E15" s="367">
        <f>IF(AND(F20&lt;315.05,F20&gt;250),"==&gt;","")</f>
      </c>
      <c r="F15" s="87" t="s">
        <v>31</v>
      </c>
      <c r="G15" s="723">
        <v>0.011</v>
      </c>
      <c r="H15" s="723">
        <v>0.016</v>
      </c>
      <c r="I15" s="723">
        <v>0.026</v>
      </c>
      <c r="J15" s="723">
        <v>0.04</v>
      </c>
      <c r="K15" s="724">
        <v>0.065</v>
      </c>
      <c r="L15" s="5"/>
      <c r="M15" s="86" t="str">
        <f>0!C89</f>
        <v>Arazi ve Ziraat makinaları</v>
      </c>
      <c r="N15" s="99"/>
      <c r="O15" s="99"/>
      <c r="P15" s="99"/>
      <c r="Q15" s="974" t="s">
        <v>17</v>
      </c>
      <c r="R15" s="974"/>
      <c r="S15" s="974" t="s">
        <v>15</v>
      </c>
      <c r="T15" s="974"/>
      <c r="U15" s="974" t="s">
        <v>16</v>
      </c>
      <c r="V15" s="975"/>
      <c r="W15" s="5"/>
      <c r="X15" s="5"/>
      <c r="Y15" s="5"/>
    </row>
    <row r="16" spans="3:22" ht="13.5" customHeight="1">
      <c r="C16" s="365">
        <f>IF(1!E4&lt;2.5,"",IF(AND(J20&lt;400.05,J20&gt;315),"==&gt;",""))</f>
      </c>
      <c r="D16" s="366">
        <f>IF(1!E4&lt;1.5,"",IF(AND(H20&lt;400.05,H20&gt;315),"==&gt;",""))</f>
      </c>
      <c r="E16" s="367">
        <f>IF(AND(F20&lt;400.05,F20&gt;315),"==&gt;","")</f>
      </c>
      <c r="F16" s="134" t="s">
        <v>32</v>
      </c>
      <c r="G16" s="721">
        <v>0.012</v>
      </c>
      <c r="H16" s="721">
        <v>0.018</v>
      </c>
      <c r="I16" s="721">
        <v>0.028</v>
      </c>
      <c r="J16" s="721">
        <v>0.044</v>
      </c>
      <c r="K16" s="722">
        <v>0.07</v>
      </c>
      <c r="M16" s="83" t="str">
        <f>0!C87</f>
        <v>Kamyon ve İş makinaları</v>
      </c>
      <c r="N16" s="98"/>
      <c r="O16" s="98"/>
      <c r="P16" s="98"/>
      <c r="Q16" s="976" t="s">
        <v>9</v>
      </c>
      <c r="R16" s="976"/>
      <c r="S16" s="976" t="s">
        <v>24</v>
      </c>
      <c r="T16" s="976"/>
      <c r="U16" s="976">
        <v>26</v>
      </c>
      <c r="V16" s="1021"/>
    </row>
    <row r="17" spans="3:25" ht="13.5" customHeight="1">
      <c r="C17" s="365">
        <f>IF(1!E4&lt;2.5,"",IF(AND(J20&lt;500.05,J20&gt;400),"==&gt;",""))</f>
      </c>
      <c r="D17" s="366">
        <f>IF(1!E4&lt;1.5,"",IF(AND(H20&lt;500.05,H20&gt;400),"==&gt;",""))</f>
      </c>
      <c r="E17" s="367">
        <f>IF(AND(F20&lt;500.05,F20&gt;400),"==&gt;","")</f>
      </c>
      <c r="F17" s="139" t="s">
        <v>33</v>
      </c>
      <c r="G17" s="720">
        <v>0.014</v>
      </c>
      <c r="H17" s="720">
        <v>0.02</v>
      </c>
      <c r="I17" s="720">
        <v>0.031</v>
      </c>
      <c r="J17" s="720">
        <v>0.048</v>
      </c>
      <c r="K17" s="725">
        <v>0.077</v>
      </c>
      <c r="L17" s="371"/>
      <c r="M17" s="130" t="str">
        <f>0!C88</f>
        <v>Plastik makinaları, Lokomotif tahriki</v>
      </c>
      <c r="N17" s="131"/>
      <c r="O17" s="131"/>
      <c r="P17" s="131"/>
      <c r="Q17" s="1018" t="s">
        <v>9</v>
      </c>
      <c r="R17" s="1018"/>
      <c r="S17" s="1018" t="s">
        <v>26</v>
      </c>
      <c r="T17" s="1018"/>
      <c r="U17" s="1018">
        <v>25</v>
      </c>
      <c r="V17" s="1019"/>
      <c r="W17" s="18"/>
      <c r="X17" s="18"/>
      <c r="Y17" s="18"/>
    </row>
    <row r="18" spans="5:25" ht="13.5" customHeight="1">
      <c r="E18" s="18"/>
      <c r="F18" s="996" t="str">
        <f>0!P35</f>
        <v>1. Kademe</v>
      </c>
      <c r="G18" s="997"/>
      <c r="H18" s="1020" t="str">
        <f>IF(1!E4&lt;1.5,"",1!G4)</f>
        <v>2. Kademe</v>
      </c>
      <c r="I18" s="1020"/>
      <c r="J18" s="996" t="str">
        <f>IF(1!E4&lt;2.5,"",1!H4)</f>
        <v>3. Kademe</v>
      </c>
      <c r="K18" s="997"/>
      <c r="P18" s="211"/>
      <c r="Q18" s="211"/>
      <c r="R18" s="211"/>
      <c r="S18" s="211"/>
      <c r="T18" s="211"/>
      <c r="U18" s="211"/>
      <c r="V18" s="211"/>
      <c r="X18" s="18"/>
      <c r="Y18" s="18"/>
    </row>
    <row r="19" spans="5:25" ht="13.5" customHeight="1">
      <c r="E19" s="18"/>
      <c r="F19" s="326" t="str">
        <f>0!C109</f>
        <v>Pinyon</v>
      </c>
      <c r="G19" s="327" t="str">
        <f>0!C105</f>
        <v>Çark</v>
      </c>
      <c r="H19" s="35" t="str">
        <f>IF(1!E4&lt;1.5,"",F19)</f>
        <v>Pinyon</v>
      </c>
      <c r="I19" s="194" t="str">
        <f>IF(1!E4&lt;1.5,"",G19)</f>
        <v>Çark</v>
      </c>
      <c r="J19" s="326" t="str">
        <f>IF(1!E4&lt;2.5,"",F19)</f>
        <v>Pinyon</v>
      </c>
      <c r="K19" s="327" t="str">
        <f>IF(1!E4&lt;2.5,"",G19)</f>
        <v>Çark</v>
      </c>
      <c r="P19" s="211"/>
      <c r="Q19" s="211"/>
      <c r="R19" s="211"/>
      <c r="S19" s="211"/>
      <c r="T19" s="211"/>
      <c r="U19" s="211"/>
      <c r="V19" s="211"/>
      <c r="X19" s="18"/>
      <c r="Y19" s="18"/>
    </row>
    <row r="20" spans="1:25" ht="13.5" customHeight="1">
      <c r="A20" s="982" t="str">
        <f>0!C41</f>
        <v>Eksenler arası mesafe</v>
      </c>
      <c r="B20" s="982"/>
      <c r="C20" s="982"/>
      <c r="D20" s="982"/>
      <c r="E20" s="983"/>
      <c r="F20" s="998">
        <f>1!F20</f>
        <v>91.92</v>
      </c>
      <c r="G20" s="999"/>
      <c r="H20" s="998">
        <f>IF(1!E4&lt;1.5,"",1!G20)</f>
        <v>250</v>
      </c>
      <c r="I20" s="1017"/>
      <c r="J20" s="998">
        <f>IF(1!E4&lt;2.5,"",1!H20)</f>
        <v>315</v>
      </c>
      <c r="K20" s="999"/>
      <c r="X20" s="18"/>
      <c r="Y20" s="18"/>
    </row>
    <row r="21" spans="1:11" ht="13.5" customHeight="1">
      <c r="A21" s="980" t="s">
        <v>147</v>
      </c>
      <c r="B21" s="980"/>
      <c r="C21" s="980"/>
      <c r="D21" s="980"/>
      <c r="E21" s="981"/>
      <c r="F21" s="984">
        <f>H14</f>
        <v>0.0145</v>
      </c>
      <c r="G21" s="995"/>
      <c r="H21" s="984">
        <f>H14</f>
        <v>0.0145</v>
      </c>
      <c r="I21" s="985"/>
      <c r="J21" s="984">
        <f>H15</f>
        <v>0.016</v>
      </c>
      <c r="K21" s="995"/>
    </row>
    <row r="22" spans="1:11" ht="13.5" customHeight="1">
      <c r="A22" s="980" t="s">
        <v>24</v>
      </c>
      <c r="B22" s="980"/>
      <c r="C22" s="980"/>
      <c r="D22" s="980"/>
      <c r="E22" s="981"/>
      <c r="F22" s="12">
        <f>2!D30</f>
        <v>38.24393513445797</v>
      </c>
      <c r="G22" s="88">
        <f>2!E30</f>
        <v>152.97574053783188</v>
      </c>
      <c r="H22" s="196">
        <f>IF(1!E4&lt;1.5,"",4!D30)</f>
        <v>92.95159520455</v>
      </c>
      <c r="I22" s="195">
        <f>IF(1!E4&lt;1.5,"",4!E30)</f>
        <v>402.79024588638333</v>
      </c>
      <c r="J22" s="12">
        <f>IF(1!E4&lt;2.5,"",6!D30)</f>
        <v>130.00621622184482</v>
      </c>
      <c r="K22" s="89">
        <f>IF(1!E4&lt;2.5,"",6!E30)</f>
        <v>495.64869934578337</v>
      </c>
    </row>
    <row r="23" spans="1:11" ht="13.5" customHeight="1">
      <c r="A23" s="980" t="s">
        <v>148</v>
      </c>
      <c r="B23" s="980"/>
      <c r="C23" s="980"/>
      <c r="D23" s="980"/>
      <c r="E23" s="981"/>
      <c r="F23" s="90">
        <v>19</v>
      </c>
      <c r="G23" s="91">
        <v>35</v>
      </c>
      <c r="H23" s="197">
        <v>19</v>
      </c>
      <c r="I23" s="199">
        <v>35</v>
      </c>
      <c r="J23" s="90">
        <v>26</v>
      </c>
      <c r="K23" s="92">
        <v>35</v>
      </c>
    </row>
    <row r="24" spans="1:11" ht="13.5" customHeight="1">
      <c r="A24" s="980" t="s">
        <v>149</v>
      </c>
      <c r="B24" s="980"/>
      <c r="C24" s="980"/>
      <c r="D24" s="980"/>
      <c r="E24" s="981"/>
      <c r="F24" s="123">
        <v>25</v>
      </c>
      <c r="G24" s="124">
        <v>40</v>
      </c>
      <c r="H24" s="198">
        <v>25</v>
      </c>
      <c r="I24" s="200">
        <v>40</v>
      </c>
      <c r="J24" s="123">
        <v>30</v>
      </c>
      <c r="K24" s="125">
        <v>40</v>
      </c>
    </row>
    <row r="25" spans="1:11" ht="13.5" customHeight="1">
      <c r="A25" s="980" t="s">
        <v>111</v>
      </c>
      <c r="B25" s="980"/>
      <c r="C25" s="980"/>
      <c r="D25" s="980"/>
      <c r="E25" s="981"/>
      <c r="F25" s="153">
        <f>F23*COS(1!F14*PI()/180)/(-10^3)</f>
        <v>-0.01785415979493226</v>
      </c>
      <c r="G25" s="93">
        <f>G23*COS(1!F14*PI()/180)/(-10^3)</f>
        <v>-0.03288924172750679</v>
      </c>
      <c r="H25" s="203">
        <f>H23*COS(1!F14*PI()/180)/(-10^3)</f>
        <v>-0.01785415979493226</v>
      </c>
      <c r="I25" s="201">
        <f>I23*COS(1!F14*PI()/180)/(-10^3)</f>
        <v>-0.03288924172750679</v>
      </c>
      <c r="J25" s="153">
        <f>J23*COS(1!F14*PI()/180)/(-10^3)</f>
        <v>-0.02443200814043362</v>
      </c>
      <c r="K25" s="93">
        <f>K23*COS(1!F14*PI()/180)/(-10^3)</f>
        <v>-0.03288924172750679</v>
      </c>
    </row>
    <row r="26" spans="1:11" ht="13.5" customHeight="1">
      <c r="A26" s="980" t="s">
        <v>112</v>
      </c>
      <c r="B26" s="980"/>
      <c r="C26" s="980"/>
      <c r="D26" s="980"/>
      <c r="E26" s="981"/>
      <c r="F26" s="154">
        <f>(F23+F24)*COS(1!F14*PI()/180)/(-10^3)</f>
        <v>-0.04134647531457997</v>
      </c>
      <c r="G26" s="94">
        <f>(G23+G24)*COS(1!F14*PI()/180)/(-10^3)</f>
        <v>-0.07047694655894313</v>
      </c>
      <c r="H26" s="204">
        <f>(H23+H24)*COS(1!F14*PI()/180)/(-10^3)</f>
        <v>-0.04134647531457997</v>
      </c>
      <c r="I26" s="202">
        <f>(I23+I24)*COS(1!F14*PI()/180)/(-10^3)</f>
        <v>-0.07047694655894313</v>
      </c>
      <c r="J26" s="154">
        <f>(J23+J24)*COS(1!F14*PI()/180)/(-10^3)</f>
        <v>-0.052622786764010866</v>
      </c>
      <c r="K26" s="94">
        <f>(K23+K24)*COS(1!F14*PI()/180)/(-10^3)</f>
        <v>-0.07047694655894313</v>
      </c>
    </row>
    <row r="27" spans="5:25" ht="13.5" customHeight="1">
      <c r="E27" s="18"/>
      <c r="F27" s="8" t="str">
        <f>0!C97</f>
        <v>Dişkalınlığı üst tolerans mesafesi Asne [µm] DIN 3967 ye göre</v>
      </c>
      <c r="G27" s="18"/>
      <c r="H27" s="18"/>
      <c r="I27" s="18"/>
      <c r="J27" s="18"/>
      <c r="K27" s="18"/>
      <c r="U27" s="18"/>
      <c r="Y27" s="18"/>
    </row>
    <row r="28" spans="3:25" ht="13.5" customHeight="1">
      <c r="C28" s="989" t="str">
        <f>IF(1!E4&lt;2.5,"","d13")</f>
        <v>d13</v>
      </c>
      <c r="D28" s="990" t="str">
        <f>IF(1!E4&lt;1.5,"","d12")</f>
        <v>d12</v>
      </c>
      <c r="E28" s="986" t="s">
        <v>151</v>
      </c>
      <c r="F28" s="987" t="str">
        <f>0!C122</f>
        <v>Taksimat dairesi</v>
      </c>
      <c r="G28" s="363">
        <f>IF(S7="a","XXXXXX","")</f>
      </c>
      <c r="H28" s="363">
        <f>IF(S7="ab","XXXXXX","")</f>
      </c>
      <c r="I28" s="363">
        <f>IF(S7="b","XXXXXX","")</f>
      </c>
      <c r="J28" s="363">
        <f>IF(S7="bc","XXXXXX","")</f>
      </c>
      <c r="K28" s="363">
        <f>IF(S7="c","XXXXXX","")</f>
      </c>
      <c r="L28" s="363">
        <f>IF(S7="cd","XXXXXX","")</f>
      </c>
      <c r="M28" s="363">
        <f>IF(S7="d","XXXXXX","")</f>
      </c>
      <c r="N28" s="363">
        <f>IF(S7="e","XXXXXX","")</f>
      </c>
      <c r="O28" s="364" t="str">
        <f>IF(S7="f","XXXXXX","")</f>
        <v>XXXXXX</v>
      </c>
      <c r="Q28" s="977" t="s">
        <v>152</v>
      </c>
      <c r="R28" s="978" t="str">
        <f>IF(1!E4&lt;1.5,"","d22")</f>
        <v>d22</v>
      </c>
      <c r="S28" s="979" t="str">
        <f>IF(1!E4&lt;2.5,"","d23")</f>
        <v>d23</v>
      </c>
      <c r="X28" s="18"/>
      <c r="Y28" s="18"/>
    </row>
    <row r="29" spans="3:26" ht="13.5" customHeight="1">
      <c r="C29" s="989"/>
      <c r="D29" s="990"/>
      <c r="E29" s="986"/>
      <c r="F29" s="988"/>
      <c r="G29" s="84" t="s">
        <v>14</v>
      </c>
      <c r="H29" s="84" t="s">
        <v>34</v>
      </c>
      <c r="I29" s="84" t="s">
        <v>8</v>
      </c>
      <c r="J29" s="84" t="s">
        <v>35</v>
      </c>
      <c r="K29" s="126" t="s">
        <v>10</v>
      </c>
      <c r="L29" s="126" t="s">
        <v>36</v>
      </c>
      <c r="M29" s="126" t="s">
        <v>24</v>
      </c>
      <c r="N29" s="126" t="s">
        <v>15</v>
      </c>
      <c r="O29" s="140" t="s">
        <v>12</v>
      </c>
      <c r="Q29" s="977"/>
      <c r="R29" s="978"/>
      <c r="S29" s="979"/>
      <c r="X29" s="18"/>
      <c r="Y29" s="18"/>
      <c r="Z29" s="3"/>
    </row>
    <row r="30" spans="3:26" ht="13.5" customHeight="1">
      <c r="C30" s="372">
        <f>IF(1!E4&lt;2.5,"",IF($J$22&lt;10,"==&gt;",""))</f>
      </c>
      <c r="D30" s="373">
        <f>IF(1!E4&lt;1.5,"",IF($H$22&lt;10,"==&gt;",""))</f>
      </c>
      <c r="E30" s="374">
        <f>IF($F$22&lt;10,"==&gt;","")</f>
      </c>
      <c r="F30" s="135" t="s">
        <v>37</v>
      </c>
      <c r="G30" s="136">
        <v>-100</v>
      </c>
      <c r="H30" s="136">
        <v>-85</v>
      </c>
      <c r="I30" s="136">
        <v>-70</v>
      </c>
      <c r="J30" s="136">
        <v>-58</v>
      </c>
      <c r="K30" s="137">
        <v>-48</v>
      </c>
      <c r="L30" s="137">
        <v>-40</v>
      </c>
      <c r="M30" s="137">
        <v>-33</v>
      </c>
      <c r="N30" s="137">
        <v>-22</v>
      </c>
      <c r="O30" s="138">
        <v>-10</v>
      </c>
      <c r="Q30" s="375">
        <f>IF($G$22&lt;10,"&lt;==","")</f>
      </c>
      <c r="R30" s="376">
        <f>IF(1!E4&lt;1.5,"",IF($I$22&lt;10,"&lt;==",""))</f>
      </c>
      <c r="S30" s="377">
        <f>IF(1!E4&lt;2.5,"",IF($K$22&lt;10,"&lt;==",""))</f>
      </c>
      <c r="Y30" s="18"/>
      <c r="Z30" s="3"/>
    </row>
    <row r="31" spans="3:19" ht="13.5" customHeight="1">
      <c r="C31" s="372">
        <f>IF(1!E4&lt;2.5,"",IF(AND($J$22&lt;50.05,$J$22&gt;10),"==&gt;",""))</f>
      </c>
      <c r="D31" s="373">
        <f>IF(1!E4&lt;1.5,"",IF(AND($H$22&lt;50.05,$H$22&gt;10),"==&gt;",""))</f>
      </c>
      <c r="E31" s="374" t="str">
        <f>IF(AND($F$22&lt;50.05,$F$22&gt;10),"==&gt;","")</f>
        <v>==&gt;</v>
      </c>
      <c r="F31" s="87" t="s">
        <v>38</v>
      </c>
      <c r="G31" s="95">
        <v>-135</v>
      </c>
      <c r="H31" s="95">
        <v>-110</v>
      </c>
      <c r="I31" s="95">
        <v>-95</v>
      </c>
      <c r="J31" s="95">
        <v>-75</v>
      </c>
      <c r="K31" s="127">
        <v>-65</v>
      </c>
      <c r="L31" s="127">
        <v>-54</v>
      </c>
      <c r="M31" s="127">
        <v>-44</v>
      </c>
      <c r="N31" s="127">
        <v>-30</v>
      </c>
      <c r="O31" s="128">
        <v>-14</v>
      </c>
      <c r="Q31" s="375">
        <f>IF(AND($G$22&lt;50.05,$G$22&gt;10),"&lt;==","")</f>
      </c>
      <c r="R31" s="376">
        <f>IF(1!E4&lt;1.5,"",IF(AND($I$22&lt;50.05,$I$22&gt;10),"&lt;==",""))</f>
      </c>
      <c r="S31" s="377">
        <f>IF(1!E4&lt;2.5,"",IF(AND($K$22&lt;50.05,$K$22&gt;10),"&lt;==",""))</f>
      </c>
    </row>
    <row r="32" spans="3:26" ht="13.5" customHeight="1">
      <c r="C32" s="372">
        <f>IF(1!E4&lt;2.5,"",IF(AND($J$22&lt;125.05,$J$22&gt;50),"==&gt;",""))</f>
      </c>
      <c r="D32" s="373" t="str">
        <f>IF(1!E4&lt;1.5,"",IF(AND($H$22&lt;125.05,$H$22&gt;50),"==&gt;",""))</f>
        <v>==&gt;</v>
      </c>
      <c r="E32" s="374">
        <f>IF(AND($F$22&lt;125.05,$F$22&gt;50),"==&gt;","")</f>
      </c>
      <c r="F32" s="134" t="s">
        <v>39</v>
      </c>
      <c r="G32" s="136">
        <v>-180</v>
      </c>
      <c r="H32" s="136">
        <v>-150</v>
      </c>
      <c r="I32" s="136">
        <v>-125</v>
      </c>
      <c r="J32" s="136">
        <v>-105</v>
      </c>
      <c r="K32" s="137">
        <v>-85</v>
      </c>
      <c r="L32" s="137">
        <v>-70</v>
      </c>
      <c r="M32" s="137">
        <v>-60</v>
      </c>
      <c r="N32" s="137">
        <v>-40</v>
      </c>
      <c r="O32" s="138">
        <v>-19</v>
      </c>
      <c r="Q32" s="375">
        <f>IF(AND($G$22&lt;125.05,$G$22&gt;50),"&lt;==","")</f>
      </c>
      <c r="R32" s="376">
        <f>IF(1!E4&lt;1.5,"",IF(AND($I$22&lt;125.05,$I$22&gt;50),"&lt;==",""))</f>
      </c>
      <c r="S32" s="377">
        <f>IF(1!E4&lt;2.5,"",IF(AND($K$22&lt;125.05,$K$22&gt;50),"&lt;==",""))</f>
      </c>
      <c r="Y32" s="18"/>
      <c r="Z32" s="3"/>
    </row>
    <row r="33" spans="3:26" ht="13.5" customHeight="1">
      <c r="C33" s="372" t="str">
        <f>IF(1!E4&lt;2.5,"",IF(AND($J$22&lt;280.05,$J$22&gt;125),"==&gt;",""))</f>
        <v>==&gt;</v>
      </c>
      <c r="D33" s="373">
        <f>IF(1!E4&lt;1.5,"",IF(AND($H$22&lt;280.05,$H$22&gt;125),"==&gt;",""))</f>
      </c>
      <c r="E33" s="374">
        <f>IF(AND($F$22&lt;280.05,$F$22&gt;125),"==&gt;","")</f>
      </c>
      <c r="F33" s="87" t="s">
        <v>40</v>
      </c>
      <c r="G33" s="95">
        <v>-250</v>
      </c>
      <c r="H33" s="95">
        <v>-200</v>
      </c>
      <c r="I33" s="95">
        <v>-170</v>
      </c>
      <c r="J33" s="95">
        <v>-140</v>
      </c>
      <c r="K33" s="127">
        <v>-115</v>
      </c>
      <c r="L33" s="127">
        <v>-95</v>
      </c>
      <c r="M33" s="127">
        <v>-80</v>
      </c>
      <c r="N33" s="127">
        <v>-56</v>
      </c>
      <c r="O33" s="128">
        <v>-26</v>
      </c>
      <c r="Q33" s="375" t="str">
        <f>IF(AND($G$22&lt;280.05,$G$22&gt;125),"&lt;==","")</f>
        <v>&lt;==</v>
      </c>
      <c r="R33" s="376">
        <f>IF(1!E4&lt;1.5,"",IF(AND($I$22&lt;280.05,$I$22&gt;125),"&lt;==",""))</f>
      </c>
      <c r="S33" s="377">
        <f>IF(1!E4&lt;2.5,"",IF(AND($K$22&lt;280.05,$K$22&gt;125),"&lt;==",""))</f>
      </c>
      <c r="Y33" s="18"/>
      <c r="Z33" s="3"/>
    </row>
    <row r="34" spans="3:26" ht="13.5" customHeight="1">
      <c r="C34" s="372">
        <f>IF(1!E4&lt;2.5,"",IF(AND($J$22&lt;560.05,$J$22&gt;280),"==&gt;",""))</f>
      </c>
      <c r="D34" s="373">
        <f>IF(1!E4&lt;1.5,"",IF(AND($H$22&lt;560.05,$H$22&gt;280),"==&gt;",""))</f>
      </c>
      <c r="E34" s="374">
        <f>IF(AND($F$22&lt;560.05,$F$22&gt;280),"==&gt;","")</f>
      </c>
      <c r="F34" s="134" t="s">
        <v>41</v>
      </c>
      <c r="G34" s="136">
        <v>-330</v>
      </c>
      <c r="H34" s="136">
        <v>-280</v>
      </c>
      <c r="I34" s="136">
        <v>-230</v>
      </c>
      <c r="J34" s="136">
        <v>-190</v>
      </c>
      <c r="K34" s="137">
        <v>-155</v>
      </c>
      <c r="L34" s="137">
        <v>-130</v>
      </c>
      <c r="M34" s="137">
        <v>-110</v>
      </c>
      <c r="N34" s="137">
        <v>-75</v>
      </c>
      <c r="O34" s="138">
        <v>-35</v>
      </c>
      <c r="Q34" s="375">
        <f>IF(AND($G$22&lt;560.05,$G$22&gt;280),"&lt;==","")</f>
      </c>
      <c r="R34" s="376" t="str">
        <f>IF(1!E4&lt;1.5,"",IF(AND($I$22&lt;560.05,$I$22&gt;280),"&lt;==",""))</f>
        <v>&lt;==</v>
      </c>
      <c r="S34" s="377" t="str">
        <f>IF(1!E4&lt;2.5,"",IF(AND($K$22&lt;560.05,$K$22&gt;280),"&lt;==",""))</f>
        <v>&lt;==</v>
      </c>
      <c r="Y34" s="18"/>
      <c r="Z34" s="3"/>
    </row>
    <row r="35" spans="3:26" ht="13.5" customHeight="1">
      <c r="C35" s="372">
        <f>IF(1!E4&lt;2.5,"",IF(AND($J$22&lt;1000.05,$J$22&gt;560),"==&gt;",""))</f>
      </c>
      <c r="D35" s="373">
        <f>IF(1!E4&lt;1.5,"",IF(AND($H$22&lt;1000.05,$H$22&gt;560),"==&gt;",""))</f>
      </c>
      <c r="E35" s="374">
        <f>IF(AND($F$22&lt;1000.05,$F$22&gt;560),"==&gt;","")</f>
      </c>
      <c r="F35" s="139" t="s">
        <v>42</v>
      </c>
      <c r="G35" s="141">
        <v>-450</v>
      </c>
      <c r="H35" s="141">
        <v>-370</v>
      </c>
      <c r="I35" s="141">
        <v>-310</v>
      </c>
      <c r="J35" s="141">
        <v>-260</v>
      </c>
      <c r="K35" s="142">
        <v>-210</v>
      </c>
      <c r="L35" s="142">
        <v>-175</v>
      </c>
      <c r="M35" s="142">
        <v>-145</v>
      </c>
      <c r="N35" s="142">
        <v>-100</v>
      </c>
      <c r="O35" s="143">
        <v>-48</v>
      </c>
      <c r="Q35" s="375">
        <f>IF(AND($G$22&lt;1000.05,$G$22&gt;560),"&lt;==","")</f>
      </c>
      <c r="R35" s="376">
        <f>IF(1!E4&lt;1.5,"",IF(AND($I$22&lt;1000.05,$I$22&gt;560),"&lt;==",""))</f>
      </c>
      <c r="S35" s="377">
        <f>IF(1!E4&lt;2.5,"",IF(AND($K$22&lt;1000.05,$K$22&gt;560),"&lt;==",""))</f>
      </c>
      <c r="Y35" s="18"/>
      <c r="Z35" s="3"/>
    </row>
    <row r="36" spans="6:26" ht="13.5" customHeight="1">
      <c r="F36" s="8" t="str">
        <f>0!C139</f>
        <v>Dişkalınlığı tolerans genişliği Tsn [µm] DIN 3967 ye göre</v>
      </c>
      <c r="G36" s="18"/>
      <c r="H36" s="18"/>
      <c r="I36" s="18"/>
      <c r="J36" s="18"/>
      <c r="K36" s="101"/>
      <c r="L36" s="101"/>
      <c r="M36" s="101"/>
      <c r="N36" s="101"/>
      <c r="O36" s="101"/>
      <c r="Q36" s="378"/>
      <c r="S36" s="379"/>
      <c r="Z36" s="3"/>
    </row>
    <row r="37" spans="3:26" ht="13.5" customHeight="1">
      <c r="C37" s="989" t="str">
        <f>IF(1!E4&lt;2.5,"","d13")</f>
        <v>d13</v>
      </c>
      <c r="D37" s="990" t="str">
        <f>IF(1!E4&lt;1.5,"","d12")</f>
        <v>d12</v>
      </c>
      <c r="E37" s="986" t="s">
        <v>151</v>
      </c>
      <c r="F37" s="991" t="str">
        <f>0!C122</f>
        <v>Taksimat dairesi</v>
      </c>
      <c r="G37" s="363">
        <f>IF(U7=21,"XXXXXX","")</f>
      </c>
      <c r="H37" s="363">
        <f>IF(U7=22,"XXXXXX","")</f>
      </c>
      <c r="I37" s="363">
        <f>IF(U7=23,"XXXXXX","")</f>
      </c>
      <c r="J37" s="363" t="str">
        <f>IF(U7=24,"XXXXXX","")</f>
        <v>XXXXXX</v>
      </c>
      <c r="K37" s="363">
        <f>IF(U7=25,"XXXXXX","")</f>
      </c>
      <c r="L37" s="363">
        <f>IF(U7=26,"XXXXXX","")</f>
      </c>
      <c r="M37" s="363">
        <f>IF(U7=27,"XXXXXX","")</f>
      </c>
      <c r="N37" s="363">
        <f>IF(U7=28,"XXXXXX","")</f>
      </c>
      <c r="O37" s="364">
        <f>IF(U7=29,"XXXXXX","")</f>
      </c>
      <c r="Q37" s="977" t="s">
        <v>152</v>
      </c>
      <c r="R37" s="978" t="str">
        <f>IF(1!E4&lt;1.5,"","d22")</f>
        <v>d22</v>
      </c>
      <c r="S37" s="979" t="str">
        <f>IF(1!E4&lt;2.5,"","d23")</f>
        <v>d23</v>
      </c>
      <c r="Y37" s="18"/>
      <c r="Z37" s="3"/>
    </row>
    <row r="38" spans="3:26" ht="13.5" customHeight="1">
      <c r="C38" s="989"/>
      <c r="D38" s="990"/>
      <c r="E38" s="986"/>
      <c r="F38" s="992"/>
      <c r="G38" s="144">
        <v>21</v>
      </c>
      <c r="H38" s="144">
        <v>22</v>
      </c>
      <c r="I38" s="144">
        <v>23</v>
      </c>
      <c r="J38" s="144">
        <v>24</v>
      </c>
      <c r="K38" s="145">
        <v>25</v>
      </c>
      <c r="L38" s="145">
        <v>26</v>
      </c>
      <c r="M38" s="145">
        <v>27</v>
      </c>
      <c r="N38" s="145">
        <v>28</v>
      </c>
      <c r="O38" s="146">
        <v>29</v>
      </c>
      <c r="Q38" s="977"/>
      <c r="R38" s="978"/>
      <c r="S38" s="979"/>
      <c r="V38" s="18"/>
      <c r="Y38" s="18"/>
      <c r="Z38" s="3"/>
    </row>
    <row r="39" spans="3:26" ht="13.5" customHeight="1">
      <c r="C39" s="372">
        <f>IF(1!E4&lt;2.5,"",IF($J$22&lt;10,"==&gt;",""))</f>
      </c>
      <c r="D39" s="373">
        <f>IF(1!E4&lt;1.5,"",IF($H$22&lt;10,"==&gt;",""))</f>
      </c>
      <c r="E39" s="374">
        <f>IF($F$22&lt;10,"==&gt;","")</f>
      </c>
      <c r="F39" s="135" t="s">
        <v>37</v>
      </c>
      <c r="G39" s="136">
        <v>3</v>
      </c>
      <c r="H39" s="136">
        <v>5</v>
      </c>
      <c r="I39" s="136">
        <v>8</v>
      </c>
      <c r="J39" s="136">
        <v>12</v>
      </c>
      <c r="K39" s="137">
        <v>20</v>
      </c>
      <c r="L39" s="137">
        <v>30</v>
      </c>
      <c r="M39" s="137">
        <v>50</v>
      </c>
      <c r="N39" s="137">
        <v>80</v>
      </c>
      <c r="O39" s="138">
        <v>130</v>
      </c>
      <c r="Q39" s="375">
        <f>IF($G$22&lt;10,"&lt;==","")</f>
      </c>
      <c r="R39" s="376">
        <f>IF(1!E4&lt;1.5,"",IF($I$22&lt;10,"&lt;==",""))</f>
      </c>
      <c r="S39" s="377">
        <f>IF(1!E4&lt;2.5,"",IF($K$22&lt;10,"&lt;==",""))</f>
      </c>
      <c r="V39" s="18"/>
      <c r="W39" s="18"/>
      <c r="X39" s="18"/>
      <c r="Y39" s="18"/>
      <c r="Z39" s="3"/>
    </row>
    <row r="40" spans="3:26" ht="13.5" customHeight="1">
      <c r="C40" s="372">
        <f>IF(1!E4&lt;2.5,"",IF(AND($J$22&lt;50.05,$J$22&gt;10),"==&gt;",""))</f>
      </c>
      <c r="D40" s="373">
        <f>IF(1!E4&lt;1.5,"",IF(AND($H$22&lt;50.05,$H$22&gt;10),"==&gt;",""))</f>
      </c>
      <c r="E40" s="374" t="str">
        <f>IF(AND($F$22&lt;50.05,$F$22&gt;10),"==&gt;","")</f>
        <v>==&gt;</v>
      </c>
      <c r="F40" s="87" t="s">
        <v>38</v>
      </c>
      <c r="G40" s="95">
        <v>5</v>
      </c>
      <c r="H40" s="95">
        <v>8</v>
      </c>
      <c r="I40" s="95">
        <v>12</v>
      </c>
      <c r="J40" s="95">
        <v>20</v>
      </c>
      <c r="K40" s="127">
        <v>30</v>
      </c>
      <c r="L40" s="127">
        <v>50</v>
      </c>
      <c r="M40" s="127">
        <v>80</v>
      </c>
      <c r="N40" s="127">
        <v>130</v>
      </c>
      <c r="O40" s="128">
        <v>200</v>
      </c>
      <c r="Q40" s="375">
        <f>IF(AND($G$22&lt;50.05,$G$22&gt;10),"&lt;==","")</f>
      </c>
      <c r="R40" s="376">
        <f>IF(1!E4&lt;1.5,"",IF(AND($I$22&lt;50.05,$I$22&gt;10),"&lt;==",""))</f>
      </c>
      <c r="S40" s="377">
        <f>IF(1!E4&lt;2.5,"",IF(AND($K$22&lt;50.05,$K$22&gt;10),"&lt;==",""))</f>
      </c>
      <c r="V40" s="18"/>
      <c r="W40" s="18"/>
      <c r="X40" s="18"/>
      <c r="Y40" s="18"/>
      <c r="Z40" s="4"/>
    </row>
    <row r="41" spans="3:26" ht="13.5" customHeight="1">
      <c r="C41" s="372">
        <f>IF(1!E4&lt;2.5,"",IF(AND($J$22&lt;125.05,$J$22&gt;50),"==&gt;",""))</f>
      </c>
      <c r="D41" s="373" t="str">
        <f>IF(1!E4&lt;1.5,"",IF(AND($H$22&lt;125.05,$H$22&gt;50),"==&gt;",""))</f>
        <v>==&gt;</v>
      </c>
      <c r="E41" s="374">
        <f>IF(AND($F$22&lt;125.05,$F$22&gt;50),"==&gt;","")</f>
      </c>
      <c r="F41" s="134" t="s">
        <v>39</v>
      </c>
      <c r="G41" s="136">
        <v>6</v>
      </c>
      <c r="H41" s="136">
        <v>10</v>
      </c>
      <c r="I41" s="136">
        <v>16</v>
      </c>
      <c r="J41" s="136">
        <v>25</v>
      </c>
      <c r="K41" s="137">
        <v>40</v>
      </c>
      <c r="L41" s="137">
        <v>60</v>
      </c>
      <c r="M41" s="137">
        <v>100</v>
      </c>
      <c r="N41" s="137">
        <v>160</v>
      </c>
      <c r="O41" s="138">
        <v>250</v>
      </c>
      <c r="Q41" s="375">
        <f>IF(AND($G$22&lt;125.05,$G$22&gt;50),"&lt;==","")</f>
      </c>
      <c r="R41" s="376">
        <f>IF(1!E4&lt;1.5,"",IF(AND($I$22&lt;125.05,$I$22&gt;50),"&lt;==",""))</f>
      </c>
      <c r="S41" s="377">
        <f>IF(1!E4&lt;2.5,"",IF(AND($K$22&lt;125.05,$K$22&gt;50),"&lt;==",""))</f>
      </c>
      <c r="V41" s="18"/>
      <c r="W41" s="18"/>
      <c r="X41" s="18"/>
      <c r="Y41" s="18"/>
      <c r="Z41" s="4"/>
    </row>
    <row r="42" spans="3:26" ht="13.5" customHeight="1">
      <c r="C42" s="372" t="str">
        <f>IF(1!E4&lt;2.5,"",IF(AND($J$22&lt;280.05,$J$22&gt;125),"==&gt;",""))</f>
        <v>==&gt;</v>
      </c>
      <c r="D42" s="373">
        <f>IF(1!E4&lt;1.5,"",IF(AND($H$22&lt;280.05,$H$22&gt;125),"==&gt;",""))</f>
      </c>
      <c r="E42" s="374">
        <f>IF(AND($F$22&lt;280.05,$F$22&gt;125),"==&gt;","")</f>
      </c>
      <c r="F42" s="87" t="s">
        <v>40</v>
      </c>
      <c r="G42" s="95">
        <v>8</v>
      </c>
      <c r="H42" s="95">
        <v>12</v>
      </c>
      <c r="I42" s="95">
        <v>20</v>
      </c>
      <c r="J42" s="95">
        <v>30</v>
      </c>
      <c r="K42" s="127">
        <v>50</v>
      </c>
      <c r="L42" s="127">
        <v>80</v>
      </c>
      <c r="M42" s="127">
        <v>130</v>
      </c>
      <c r="N42" s="127">
        <v>200</v>
      </c>
      <c r="O42" s="128">
        <v>300</v>
      </c>
      <c r="Q42" s="375" t="str">
        <f>IF(AND($G$22&lt;280.05,$G$22&gt;125),"&lt;==","")</f>
        <v>&lt;==</v>
      </c>
      <c r="R42" s="376">
        <f>IF(1!E4&lt;1.5,"",IF(AND($I$22&lt;280.05,$I$22&gt;125),"&lt;==",""))</f>
      </c>
      <c r="S42" s="377">
        <f>IF(1!E4&lt;2.5,"",IF(AND($K$22&lt;280.05,$K$22&gt;125),"&lt;==",""))</f>
      </c>
      <c r="V42" s="18"/>
      <c r="W42" s="18"/>
      <c r="X42" s="18"/>
      <c r="Y42" s="18"/>
      <c r="Z42" s="4"/>
    </row>
    <row r="43" spans="3:26" ht="12.75" customHeight="1">
      <c r="C43" s="372">
        <f>IF(1!E4&lt;2.5,"",IF(AND($J$22&lt;560.05,$J$22&gt;280),"==&gt;",""))</f>
      </c>
      <c r="D43" s="373">
        <f>IF(1!E4&lt;1.5,"",IF(AND($H$22&lt;560.05,$H$22&gt;280),"==&gt;",""))</f>
      </c>
      <c r="E43" s="374">
        <f>IF(AND($F$22&lt;560.05,$F$22&gt;280),"==&gt;","")</f>
      </c>
      <c r="F43" s="134" t="s">
        <v>41</v>
      </c>
      <c r="G43" s="136">
        <v>10</v>
      </c>
      <c r="H43" s="136">
        <v>16</v>
      </c>
      <c r="I43" s="136">
        <v>25</v>
      </c>
      <c r="J43" s="136">
        <v>40</v>
      </c>
      <c r="K43" s="137">
        <v>60</v>
      </c>
      <c r="L43" s="137">
        <v>100</v>
      </c>
      <c r="M43" s="137">
        <v>160</v>
      </c>
      <c r="N43" s="137">
        <v>250</v>
      </c>
      <c r="O43" s="138">
        <v>400</v>
      </c>
      <c r="Q43" s="375">
        <f>IF(AND($G$22&lt;560.05,$G$22&gt;280),"&lt;==","")</f>
      </c>
      <c r="R43" s="376" t="str">
        <f>IF(1!E4&lt;1.5,"",IF(AND($I$22&lt;560.05,$I$22&gt;280),"&lt;==",""))</f>
        <v>&lt;==</v>
      </c>
      <c r="S43" s="377" t="str">
        <f>IF(1!E4&lt;2.5,"",IF(AND($K$22&lt;560.05,$K$22&gt;280),"&lt;==",""))</f>
        <v>&lt;==</v>
      </c>
      <c r="V43" s="17"/>
      <c r="W43" s="17"/>
      <c r="X43" s="17"/>
      <c r="Y43" s="17"/>
      <c r="Z43" s="4"/>
    </row>
    <row r="44" spans="3:25" ht="12.75" customHeight="1">
      <c r="C44" s="372">
        <f>IF(1!E4&lt;2.5,"",IF(AND($J$22&lt;1000.05,$J$22&gt;560),"==&gt;",""))</f>
      </c>
      <c r="D44" s="373">
        <f>IF(1!E4&lt;1.5,"",IF(AND($H$22&lt;1000.05,$H$22&gt;560),"==&gt;",""))</f>
      </c>
      <c r="E44" s="374">
        <f>IF(AND($F$22&lt;1000.05,$F$22&gt;560),"==&gt;","")</f>
      </c>
      <c r="F44" s="139" t="s">
        <v>42</v>
      </c>
      <c r="G44" s="141">
        <v>12</v>
      </c>
      <c r="H44" s="141">
        <v>20</v>
      </c>
      <c r="I44" s="141">
        <v>30</v>
      </c>
      <c r="J44" s="141">
        <v>50</v>
      </c>
      <c r="K44" s="142">
        <v>80</v>
      </c>
      <c r="L44" s="142">
        <v>130</v>
      </c>
      <c r="M44" s="142">
        <v>200</v>
      </c>
      <c r="N44" s="142">
        <v>300</v>
      </c>
      <c r="O44" s="143">
        <v>500</v>
      </c>
      <c r="Q44" s="375">
        <f>IF(AND($G$22&lt;1000.05,$G$22&gt;560),"&lt;==","")</f>
      </c>
      <c r="R44" s="376">
        <f>IF(1!E4&lt;1.5,"",IF(AND($I$22&lt;1000.05,$I$22&gt;560),"&lt;==",""))</f>
      </c>
      <c r="S44" s="377">
        <f>IF(1!E4&lt;2.5,"",IF(AND($K$22&lt;1000.05,$K$22&gt;560),"&lt;==",""))</f>
      </c>
      <c r="V44" s="17"/>
      <c r="W44" s="17"/>
      <c r="X44" s="17"/>
      <c r="Y44" s="17"/>
    </row>
    <row r="45" spans="5:25" ht="6" customHeight="1">
      <c r="E45" s="380">
        <f>IF(AND($S$27&lt;1000.05,$S$27&gt;560),"==&gt;","")</f>
      </c>
      <c r="F45" s="17"/>
      <c r="G45" s="17"/>
      <c r="H45" s="17"/>
      <c r="I45" s="17"/>
      <c r="J45" s="17"/>
      <c r="K45" s="129"/>
      <c r="L45" s="129"/>
      <c r="M45" s="129"/>
      <c r="N45" s="129"/>
      <c r="O45" s="129"/>
      <c r="U45" s="17"/>
      <c r="V45" s="17"/>
      <c r="W45" s="17"/>
      <c r="X45" s="17"/>
      <c r="Y45" s="17"/>
    </row>
    <row r="46" ht="12.75" customHeight="1"/>
    <row r="47" ht="12.75" customHeight="1"/>
    <row r="48" ht="12.75" customHeight="1"/>
    <row r="50" ht="12.75" customHeight="1"/>
    <row r="51" ht="12.75" customHeight="1"/>
  </sheetData>
  <sheetProtection password="EF77" sheet="1" objects="1" scenarios="1"/>
  <mergeCells count="64">
    <mergeCell ref="U15:V15"/>
    <mergeCell ref="U16:V16"/>
    <mergeCell ref="U12:V12"/>
    <mergeCell ref="S16:T16"/>
    <mergeCell ref="S12:T12"/>
    <mergeCell ref="S13:T13"/>
    <mergeCell ref="S14:T14"/>
    <mergeCell ref="S15:T15"/>
    <mergeCell ref="H20:I20"/>
    <mergeCell ref="U17:V17"/>
    <mergeCell ref="S17:T17"/>
    <mergeCell ref="Q14:R14"/>
    <mergeCell ref="Q15:R15"/>
    <mergeCell ref="Q16:R16"/>
    <mergeCell ref="Q17:R17"/>
    <mergeCell ref="H18:I18"/>
    <mergeCell ref="J18:K18"/>
    <mergeCell ref="U14:V14"/>
    <mergeCell ref="U6:V6"/>
    <mergeCell ref="M6:P6"/>
    <mergeCell ref="E1:G1"/>
    <mergeCell ref="C6:C7"/>
    <mergeCell ref="D6:D7"/>
    <mergeCell ref="E6:E7"/>
    <mergeCell ref="S7:T7"/>
    <mergeCell ref="U7:V7"/>
    <mergeCell ref="M7:P7"/>
    <mergeCell ref="Q7:R7"/>
    <mergeCell ref="E28:E29"/>
    <mergeCell ref="B1:D1"/>
    <mergeCell ref="S6:T6"/>
    <mergeCell ref="A21:E21"/>
    <mergeCell ref="J21:K21"/>
    <mergeCell ref="F18:G18"/>
    <mergeCell ref="F20:G20"/>
    <mergeCell ref="J20:K20"/>
    <mergeCell ref="F21:G21"/>
    <mergeCell ref="Q6:R6"/>
    <mergeCell ref="A20:E20"/>
    <mergeCell ref="H21:I21"/>
    <mergeCell ref="E37:E38"/>
    <mergeCell ref="F28:F29"/>
    <mergeCell ref="C28:C29"/>
    <mergeCell ref="C37:C38"/>
    <mergeCell ref="D28:D29"/>
    <mergeCell ref="D37:D38"/>
    <mergeCell ref="F37:F38"/>
    <mergeCell ref="A26:E26"/>
    <mergeCell ref="A22:E22"/>
    <mergeCell ref="A23:E23"/>
    <mergeCell ref="A24:E24"/>
    <mergeCell ref="A25:E25"/>
    <mergeCell ref="Q37:Q38"/>
    <mergeCell ref="R37:R38"/>
    <mergeCell ref="S37:S38"/>
    <mergeCell ref="S28:S29"/>
    <mergeCell ref="Q28:Q29"/>
    <mergeCell ref="R28:R29"/>
    <mergeCell ref="U11:V11"/>
    <mergeCell ref="S11:T11"/>
    <mergeCell ref="Q11:R11"/>
    <mergeCell ref="U13:V13"/>
    <mergeCell ref="Q12:R12"/>
    <mergeCell ref="Q13:R13"/>
  </mergeCells>
  <printOptions horizontalCentered="1" verticalCentered="1"/>
  <pageMargins left="0.3937007874015748" right="0.3937007874015748" top="0.5905511811023623" bottom="0.5905511811023623" header="0.5118110236220472" footer="0.5118110236220472"/>
  <pageSetup blackAndWhite="1" horizontalDpi="300" verticalDpi="300" orientation="landscape" paperSize="9" scale="83" r:id="rId3"/>
  <headerFooter alignWithMargins="0">
    <oddFooter>&amp;L&amp;F / &amp;A / &amp;D&amp;RSeite &amp;P von &amp;N</oddFooter>
  </headerFooter>
  <ignoredErrors>
    <ignoredError sqref="T7 V7 F21 H21 J21" unlockedFormula="1"/>
  </ignoredErrors>
  <legacyDrawing r:id="rId2"/>
  <oleObjects>
    <oleObject progId="AutoCAD.Drawing.15" shapeId="2138312" r:id="rId1"/>
  </oleObjects>
</worksheet>
</file>

<file path=xl/worksheets/sheet12.xml><?xml version="1.0" encoding="utf-8"?>
<worksheet xmlns="http://schemas.openxmlformats.org/spreadsheetml/2006/main" xmlns:r="http://schemas.openxmlformats.org/officeDocument/2006/relationships">
  <sheetPr codeName="Tabelle9"/>
  <dimension ref="A1:H48"/>
  <sheetViews>
    <sheetView showGridLines="0" showRowColHeaders="0" zoomScale="90" zoomScaleNormal="90" workbookViewId="0" topLeftCell="A1">
      <selection activeCell="D8" sqref="D8"/>
    </sheetView>
  </sheetViews>
  <sheetFormatPr defaultColWidth="11.421875" defaultRowHeight="15" customHeight="1"/>
  <cols>
    <col min="1" max="1" width="2.7109375" style="5" customWidth="1"/>
    <col min="2" max="2" width="22.7109375" style="5" customWidth="1"/>
    <col min="3" max="3" width="26.7109375" style="5" customWidth="1"/>
    <col min="4" max="5" width="40.7109375" style="5" customWidth="1"/>
    <col min="6" max="7" width="10.7109375" style="5" customWidth="1"/>
    <col min="8" max="8" width="2.7109375" style="5" customWidth="1"/>
    <col min="9" max="9" width="5.7109375" style="5" customWidth="1"/>
    <col min="10" max="10" width="4.7109375" style="5" customWidth="1"/>
    <col min="11" max="23" width="10.421875" style="5" customWidth="1"/>
    <col min="24" max="27" width="11.421875" style="5" customWidth="1"/>
    <col min="28" max="28" width="9.7109375" style="5" customWidth="1"/>
    <col min="29" max="16384" width="11.421875" style="5" customWidth="1"/>
  </cols>
  <sheetData>
    <row r="1" spans="2:7" ht="15" customHeight="1">
      <c r="B1" s="648" t="str">
        <f>Info!B11</f>
        <v>www.guven-kutay.ch</v>
      </c>
      <c r="G1" s="120" t="str">
        <f>Info!N11</f>
        <v>Copyright : M. G. Kutay , Ver 10.02</v>
      </c>
    </row>
    <row r="2" spans="2:7" ht="6.75" customHeight="1">
      <c r="B2" s="648"/>
      <c r="G2" s="120"/>
    </row>
    <row r="3" spans="1:4" ht="15" customHeight="1">
      <c r="A3" s="354"/>
      <c r="B3" s="120" t="str">
        <f>0!C104</f>
        <v>Proje :</v>
      </c>
      <c r="C3" s="6" t="str">
        <f>1!C1</f>
        <v>Takım tezgahı</v>
      </c>
      <c r="D3" s="6"/>
    </row>
    <row r="4" spans="1:4" ht="6.75" customHeight="1">
      <c r="A4" s="354"/>
      <c r="B4" s="120"/>
      <c r="C4" s="1"/>
      <c r="D4" s="1"/>
    </row>
    <row r="5" spans="2:7" ht="15" customHeight="1">
      <c r="B5" s="356" t="str">
        <f>0!X39</f>
        <v>10. Gerekli emniyet faktörleri </v>
      </c>
      <c r="E5" s="649" t="str">
        <f>0!C66</f>
        <v>Kullanıldığı yer</v>
      </c>
      <c r="F5" s="1022" t="str">
        <f>1!C1</f>
        <v>Takım tezgahı</v>
      </c>
      <c r="G5" s="1023"/>
    </row>
    <row r="6" spans="2:7" ht="15" customHeight="1">
      <c r="B6" s="1024" t="str">
        <f>IF(Info!I13&gt;2.5,"If the safety factors are confessed SFerf and SHerf, you enter them. Otherwise, you use the following table values.",IF(Info!I13&gt;1.5,"Wenn die Sicherheitsfaktoren SFerf und SHerf bekannt sind, geben Sie sie ein, sonst benützen Sie die folgenden Tabellenwerte.","Gerekli emniyet faktörleri SFger ve SHger biliniyorsa büyüklüğünü mavi kareye yazınız. Yoksa tablo yardımıyla faktörü bulunuz."))</f>
        <v>Gerekli emniyet faktörleri SFger ve SHger biliniyorsa büyüklüğünü mavi kareye yazınız. Yoksa tablo yardımıyla faktörü bulunuz.</v>
      </c>
      <c r="C6" s="1024"/>
      <c r="D6" s="1024"/>
      <c r="E6" s="650" t="str">
        <f>B15</f>
        <v>2. Normal şartlı, normal işletme</v>
      </c>
      <c r="F6" s="9" t="str">
        <f>IF(Info!I13&gt;2.5,"SFreg",IF(Info!I13&gt;1.5,"SFerf","SFger"))</f>
        <v>SFger</v>
      </c>
      <c r="G6" s="651">
        <v>1.4</v>
      </c>
    </row>
    <row r="7" spans="1:7" ht="15" customHeight="1">
      <c r="A7" s="354"/>
      <c r="B7" s="1024"/>
      <c r="C7" s="1024"/>
      <c r="D7" s="1024"/>
      <c r="E7" s="652" t="str">
        <f>D18</f>
        <v>b)  Devamlı mukavemet;</v>
      </c>
      <c r="F7" s="16" t="str">
        <f>IF(Info!I13&gt;2.5,"SHreg",IF(Info!I13&gt;1.5,"SHerf","SHger"))</f>
        <v>SHger</v>
      </c>
      <c r="G7" s="653">
        <v>0.8</v>
      </c>
    </row>
    <row r="8" spans="2:7" ht="15" customHeight="1">
      <c r="B8" s="8" t="str">
        <f>IF(Info!I13&gt;2.5,"Effort criteria",IF(Info!I13&gt;1.5,"Einsatzkriterien","İşletme vasıfları"))</f>
        <v>İşletme vasıfları</v>
      </c>
      <c r="D8" s="8" t="str">
        <f>IF(Info!I13&gt;2.5,"Damage are limited through:",IF(Info!I13&gt;1.5,"Schaden sind begrenzt durch :","Hasarın sınırlanması :"))</f>
        <v>Hasarın sınırlanması :</v>
      </c>
      <c r="F8" s="324" t="str">
        <f>F6</f>
        <v>SFger</v>
      </c>
      <c r="G8" s="324" t="str">
        <f>F7</f>
        <v>SHger</v>
      </c>
    </row>
    <row r="9" spans="2:7" ht="15" customHeight="1">
      <c r="B9" s="654" t="str">
        <f>IF(Info!I13&gt;2.5,"1. Smaller reliability",IF(Info!I13&gt;1.5,"1. Geringere zuverlässigkeit.","1. Az şartlı, hafif işletme."))</f>
        <v>1. Az şartlı, hafif işletme.</v>
      </c>
      <c r="C9" s="11"/>
      <c r="D9" s="1025" t="str">
        <f>IF(Info!I13&gt;2.5,"a)  In general fatique strength calculation",IF(Info!I13&gt;1.5,"a)  Im allgemeinen Zeitfestigkeit-Berechnung;","a)  Çoğunlukla zamana bağlı mukavemet hesabı; 
"))</f>
        <v>a)  Çoğunlukla zamana bağlı mukavemet hesabı; 
</v>
      </c>
      <c r="E9" s="1026"/>
      <c r="F9" s="655"/>
      <c r="G9" s="656"/>
    </row>
    <row r="10" spans="2:7" ht="13.5" customHeight="1">
      <c r="B10" s="657" t="str">
        <f>IF(Info!I13&gt;2.5,"Tempered or case-hardened gears. Avoid nitriding",IF(Info!I13&gt;1.5,"Vergütete oder einsatzgehärtete Zahnräder.","Değerler islah ve semente edilmiş malzemeler için"))</f>
        <v>Değerler islah ve semente edilmiş malzemeler için</v>
      </c>
      <c r="C10" s="344"/>
      <c r="D10" s="1027" t="str">
        <f>IF(Info!I13&gt;2.5,"     Calculation with max values",IF(Info!I13&gt;1.5,"     Berechnung mit maximalen Werten, ","     a) maksimum değerlerle yapılan hesaplamalar; "))</f>
        <v>     a) maksimum değerlerle yapılan hesaplamalar; </v>
      </c>
      <c r="E10" s="1028"/>
      <c r="F10" s="658" t="s">
        <v>507</v>
      </c>
      <c r="G10" s="659" t="s">
        <v>508</v>
      </c>
    </row>
    <row r="11" spans="2:7" ht="13.5" customHeight="1">
      <c r="B11" s="657" t="str">
        <f>IF(Info!I13&gt;2.5,"nitrogen hardening avoid",IF(Info!I13&gt;1.5,"Nitriren vermeiden. ","geçerlidir. Nitrasyondan kaçınılmalıdır."))</f>
        <v>geçerlidir. Nitrasyondan kaçınılmalıdır.</v>
      </c>
      <c r="C11" s="344"/>
      <c r="D11" s="1027" t="str">
        <f>IF(Info!I13&gt;2.5,"        e.g. Max operating momentum = momentum x operating ratio",IF(Info!I13&gt;1.5,"         z.B. Max. Betriebsmoment = Moment x Betriebsfaktor","         Örneğin; Mmax =Moment x İşletme faktörü,"))</f>
        <v>         Örneğin; Mmax =Moment x İşletme faktörü,</v>
      </c>
      <c r="E11" s="1028"/>
      <c r="F11" s="658"/>
      <c r="G11" s="659"/>
    </row>
    <row r="12" spans="2:7" ht="15" customHeight="1">
      <c r="B12" s="660" t="str">
        <f>IF(Info!I13&gt;2.5,"shears, presses, converters, lifting gears.",IF(Info!I13&gt;1.5,"z.B.Scheren, Pressen, Konverter, Hubwerke.","Örneğin: Makaslar, Presler, Ceraskallar, ..."))</f>
        <v>Örneğin: Makaslar, Presler, Ceraskallar, ...</v>
      </c>
      <c r="C12" s="661"/>
      <c r="D12" s="1029" t="str">
        <f>IF(Info!I13&gt;2.5,"        still, shock-free drive system, electrical engines, hoist ",IF(Info!I13&gt;1.5,"        ruhig, stossfreie Antriebe, elekträsche Motoren, Elektroflaschenzüge, u.s.w.","
        sakin, darbesiz tahrikler; 
elektrik motoru, ceraskal, v.b. gibi.
"))</f>
        <v>
        sakin, darbesiz tahrikler; 
elektrik motoru, ceraskal, v.b. gibi.
</v>
      </c>
      <c r="E12" s="1030"/>
      <c r="F12" s="658"/>
      <c r="G12" s="659"/>
    </row>
    <row r="13" spans="2:7" ht="15" customHeight="1">
      <c r="B13" s="662"/>
      <c r="C13" s="344"/>
      <c r="D13" s="1031" t="str">
        <f>IF(Info!I13&gt;2.5,"a)  Static firmness",IF(Info!I13&gt;1.5,"a)  Statischerfestigkeit,","A)  Statik mukavemet;"))</f>
        <v>A)  Statik mukavemet;</v>
      </c>
      <c r="E13" s="1032"/>
      <c r="F13" s="663"/>
      <c r="G13" s="664"/>
    </row>
    <row r="14" spans="2:7" ht="15" customHeight="1">
      <c r="B14" s="662"/>
      <c r="C14" s="344"/>
      <c r="D14" s="1033" t="str">
        <f>IF(Info!I13&gt;2.5,"     Plastic deformation, driving joins",IF(Info!I13&gt;1.5,"     Plastische Verformung, Anfahrstösse, ...","     Plastik değişme veya malzemede çatlama tehlikesi varsa,"))</f>
        <v>     Plastik değişme veya malzemede çatlama tehlikesi varsa,</v>
      </c>
      <c r="E14" s="1034"/>
      <c r="F14" s="658"/>
      <c r="G14" s="659"/>
    </row>
    <row r="15" spans="2:7" ht="15" customHeight="1">
      <c r="B15" s="665" t="str">
        <f>IF(Info!I13&gt;2.5,"2. Normal case, normally operation",IF(Info!I13&gt;1.5,"2. Normalfall, normal Betrieb","2. Normal şartlı, normal işletme"))</f>
        <v>2. Normal şartlı, normal işletme</v>
      </c>
      <c r="C15" s="344"/>
      <c r="D15" s="1033" t="str">
        <f>IF(Info!I13&gt;2.5,"        Calculation with higher values",IF(Info!I13&gt;1.5,"        Berechnung mit höheren Werte, ","        Hesaplar katsayılı değerlerle yapılır,"))</f>
        <v>        Hesaplar katsayılı değerlerle yapılır,</v>
      </c>
      <c r="E15" s="1034"/>
      <c r="F15" s="658" t="s">
        <v>374</v>
      </c>
      <c r="G15" s="659" t="s">
        <v>367</v>
      </c>
    </row>
    <row r="16" spans="2:7" ht="15" customHeight="1">
      <c r="B16" s="662"/>
      <c r="C16" s="344"/>
      <c r="D16" s="1033" t="str">
        <f>IF(Info!I13&gt;2.5,"              e.g. Alternation moment to 5x operating rated moment",IF(Info!I13&gt;1.5,"              z.B. Wechselmomente bis 5 x Betriebsnennmoment","              Örneğin; Mmax = Moment x İşletme faktörü"))</f>
        <v>              Örneğin; Mmax = Moment x İşletme faktörü</v>
      </c>
      <c r="E16" s="1034"/>
      <c r="F16" s="658"/>
      <c r="G16" s="659"/>
    </row>
    <row r="17" spans="2:7" ht="15" customHeight="1">
      <c r="B17" s="662" t="str">
        <f>IF(Info!I13&gt;2.5,"Mostly industry gear, some hoist gears",IF(Info!I13&gt;1.5,"Meist Industriegetriebe und manchen Hebezeuggetrieben","Endüstri, Turbo ve Tesis redüktörleri."))</f>
        <v>Endüstri, Turbo ve Tesis redüktörleri.</v>
      </c>
      <c r="C17" s="344"/>
      <c r="D17" s="1035" t="str">
        <f>IF(Info!I13&gt;2.5,"              Synchronous motor drive ",IF(Info!I13&gt;1.5,"              bei Antrieb Synchronmotor","              Senkron motorlu tahrik"))</f>
        <v>              Senkron motorlu tahrik</v>
      </c>
      <c r="E17" s="875"/>
      <c r="F17" s="658"/>
      <c r="G17" s="659"/>
    </row>
    <row r="18" spans="2:7" ht="15" customHeight="1">
      <c r="B18" s="662"/>
      <c r="C18" s="344"/>
      <c r="D18" s="1031" t="str">
        <f>IF(Info!I13&gt;2.5,"b)  Endurance",IF(Info!I13&gt;1.5,"b)  Dauerfestigkeit;","b)  Devamlı mukavemet;"))</f>
        <v>b)  Devamlı mukavemet;</v>
      </c>
      <c r="E18" s="1032"/>
      <c r="F18" s="663"/>
      <c r="G18" s="664"/>
    </row>
    <row r="19" spans="2:7" ht="15" customHeight="1">
      <c r="B19" s="1039" t="str">
        <f>IF(Info!I13&gt;2.5,"for example (e.g.); electric motors, hoist gears and Tools machine.",IF(Info!I13&gt;1.5,"z.B.: Werkzeugmaschinen, Hebezeug-Getriebe und alle Triebwerke mit elektro Motoren.","Örneğin: Takım tezgahları ve normal kaldırma araçları redüktörleri. Bütün elektrik motorlu tahrikler.
"))</f>
        <v>Örneğin: Takım tezgahları ve normal kaldırma araçları redüktörleri. Bütün elektrik motorlu tahrikler.
</v>
      </c>
      <c r="C19" s="1040"/>
      <c r="D19" s="1033" t="str">
        <f>D10</f>
        <v>     a) maksimum değerlerle yapılan hesaplamalar; </v>
      </c>
      <c r="E19" s="1034"/>
      <c r="F19" s="658"/>
      <c r="G19" s="659"/>
    </row>
    <row r="20" spans="2:7" ht="15" customHeight="1">
      <c r="B20" s="1039"/>
      <c r="C20" s="1040"/>
      <c r="D20" s="1041" t="str">
        <f>D15</f>
        <v>        Hesaplar katsayılı değerlerle yapılır,</v>
      </c>
      <c r="E20" s="1042"/>
      <c r="F20" s="658" t="s">
        <v>509</v>
      </c>
      <c r="G20" s="659" t="s">
        <v>510</v>
      </c>
    </row>
    <row r="21" spans="2:7" ht="15" customHeight="1">
      <c r="B21" s="666"/>
      <c r="C21" s="344"/>
      <c r="D21" s="1033" t="str">
        <f>D16</f>
        <v>              Örneğin; Mmax = Moment x İşletme faktörü</v>
      </c>
      <c r="E21" s="1034"/>
      <c r="F21" s="658"/>
      <c r="G21" s="659"/>
    </row>
    <row r="22" spans="2:7" ht="15" customHeight="1">
      <c r="B22" s="662"/>
      <c r="C22" s="344"/>
      <c r="D22" s="667" t="str">
        <f>D17</f>
        <v>              Senkron motorlu tahrik</v>
      </c>
      <c r="E22" s="668"/>
      <c r="F22" s="658"/>
      <c r="G22" s="659"/>
    </row>
    <row r="23" spans="2:7" ht="15" customHeight="1">
      <c r="B23" s="662"/>
      <c r="C23" s="344"/>
      <c r="D23" s="1031" t="str">
        <f>IF(Info!I13&gt;2.5,"c) Calculation to load spectrum",IF(Info!I13&gt;1.5,"c)  Berechnung nach Lastkollektiv","c)  Hesaplar kollektif yüklemeye göre;"))</f>
        <v>c)  Hesaplar kollektif yüklemeye göre;</v>
      </c>
      <c r="E23" s="1032"/>
      <c r="F23" s="663"/>
      <c r="G23" s="664"/>
    </row>
    <row r="24" spans="2:7" ht="15" customHeight="1">
      <c r="B24" s="662"/>
      <c r="C24" s="344"/>
      <c r="D24" s="669" t="str">
        <f>D15</f>
        <v>        Hesaplar katsayılı değerlerle yapılır,</v>
      </c>
      <c r="E24" s="344"/>
      <c r="F24" s="658" t="s">
        <v>511</v>
      </c>
      <c r="G24" s="659" t="s">
        <v>512</v>
      </c>
    </row>
    <row r="25" spans="2:7" ht="15" customHeight="1">
      <c r="B25" s="662"/>
      <c r="C25" s="344"/>
      <c r="D25" s="669" t="str">
        <f>D16</f>
        <v>              Örneğin; Mmax = Moment x İşletme faktörü</v>
      </c>
      <c r="E25" s="344"/>
      <c r="F25" s="658"/>
      <c r="G25" s="659"/>
    </row>
    <row r="26" spans="2:7" ht="15" customHeight="1">
      <c r="B26" s="670"/>
      <c r="C26" s="661"/>
      <c r="D26" s="667" t="str">
        <f>D22</f>
        <v>              Senkron motorlu tahrik</v>
      </c>
      <c r="E26" s="668"/>
      <c r="F26" s="658"/>
      <c r="G26" s="659"/>
    </row>
    <row r="27" spans="2:7" ht="15" customHeight="1">
      <c r="B27" s="662"/>
      <c r="C27" s="344"/>
      <c r="D27" s="671" t="str">
        <f>D13</f>
        <v>A)  Statik mukavemet;</v>
      </c>
      <c r="E27" s="344"/>
      <c r="F27" s="663"/>
      <c r="G27" s="664"/>
    </row>
    <row r="28" spans="2:7" ht="15" customHeight="1">
      <c r="B28" s="665" t="str">
        <f>IF(Info!I13&gt;2.5,"3. High reliability, critical cases",IF(Info!I13&gt;1.5,"3. Hohe Zuverlässigkeit, kritische Fälle","3. Ağır şartlı, özel işletme"))</f>
        <v>3. Ağır şartlı, özel işletme</v>
      </c>
      <c r="C28" s="344"/>
      <c r="D28" s="669" t="str">
        <f>IF(Info!I13&gt;2.5,"     How above normal case",IF(Info!I13&gt;1.5,"     Wie oben Normalfall","     Yukarıda olduğu gibi, normal durum."))</f>
        <v>     Yukarıda olduğu gibi, normal durum.</v>
      </c>
      <c r="E28" s="344"/>
      <c r="F28" s="658" t="s">
        <v>513</v>
      </c>
      <c r="G28" s="659" t="s">
        <v>514</v>
      </c>
    </row>
    <row r="29" spans="2:7" ht="15" customHeight="1">
      <c r="B29" s="662"/>
      <c r="C29" s="344"/>
      <c r="D29" s="669"/>
      <c r="E29" s="344"/>
      <c r="F29" s="658"/>
      <c r="G29" s="659"/>
    </row>
    <row r="30" spans="2:7" ht="15" customHeight="1">
      <c r="B30" s="1036" t="str">
        <f>IF(Info!I13&gt;2.5,"Very high load cycle number, high damage risk, high follow-up costs, no spare part, no overload protection",IF(Info!I13&gt;1.5,"Sehr hohe Lastwechselzahlen, hohes Schadenrisiko, hohe Folgekosten, keine Ersatzteile, keine Ueberlastsicherung","Kritik işletmeler. (Çok yüksek sayıda yükleme, çok yüksek zarar rizikolu, zararın etkisi çok büyük ve yedekparçası zor temin edilen veya zor ulaştırılan, fazla yük emniyeti olmayan işletmeler."))</f>
        <v>Kritik işletmeler. (Çok yüksek sayıda yükleme, çok yüksek zarar rizikolu, zararın etkisi çok büyük ve yedekparçası zor temin edilen veya zor ulaştırılan, fazla yük emniyeti olmayan işletmeler.</v>
      </c>
      <c r="C30" s="1037"/>
      <c r="D30" s="672" t="str">
        <f>D18</f>
        <v>b)  Devamlı mukavemet;</v>
      </c>
      <c r="E30" s="673"/>
      <c r="F30" s="663"/>
      <c r="G30" s="664"/>
    </row>
    <row r="31" spans="2:7" ht="15" customHeight="1">
      <c r="B31" s="1036"/>
      <c r="C31" s="1037"/>
      <c r="D31" s="669" t="str">
        <f>D28</f>
        <v>     Yukarıda olduğu gibi, normal durum.</v>
      </c>
      <c r="E31" s="674"/>
      <c r="F31" s="658" t="s">
        <v>515</v>
      </c>
      <c r="G31" s="659" t="s">
        <v>516</v>
      </c>
    </row>
    <row r="32" spans="2:7" ht="20.25" customHeight="1">
      <c r="B32" s="1036"/>
      <c r="C32" s="1037"/>
      <c r="D32" s="667"/>
      <c r="E32" s="668"/>
      <c r="F32" s="658"/>
      <c r="G32" s="659"/>
    </row>
    <row r="33" spans="2:7" ht="15" customHeight="1">
      <c r="B33" s="1038" t="str">
        <f>IF(Info!I13&gt;2.5,"Gross-turbo gear, ship gear, airplane gear, some hoist gears.",IF(Info!I13&gt;1.5,"z.B. : Gross-Turbogetriebe, Schiffsgetriebe, Flugzeuggetriebe, manchen Hebezeuggetrieben.","Örneğin: Büyük Turbo, Gemi, Uçak ve zor şartlarda çalışan Kaldırma araçları redüktörleri."))</f>
        <v>Örneğin: Büyük Turbo, Gemi, Uçak ve zor şartlarda çalışan Kaldırma araçları redüktörleri.</v>
      </c>
      <c r="C33" s="1028"/>
      <c r="D33" s="671" t="str">
        <f>D23</f>
        <v>c)  Hesaplar kollektif yüklemeye göre;</v>
      </c>
      <c r="E33" s="344"/>
      <c r="F33" s="663"/>
      <c r="G33" s="664"/>
    </row>
    <row r="34" spans="2:7" ht="15" customHeight="1">
      <c r="B34" s="1038"/>
      <c r="C34" s="1028"/>
      <c r="D34" s="669" t="str">
        <f>D31</f>
        <v>     Yukarıda olduğu gibi, normal durum.</v>
      </c>
      <c r="E34" s="344"/>
      <c r="F34" s="658" t="s">
        <v>517</v>
      </c>
      <c r="G34" s="659" t="s">
        <v>511</v>
      </c>
    </row>
    <row r="35" spans="2:7" ht="15" customHeight="1">
      <c r="B35" s="675"/>
      <c r="C35" s="676"/>
      <c r="D35" s="677"/>
      <c r="E35" s="676"/>
      <c r="F35" s="677"/>
      <c r="G35" s="678"/>
    </row>
    <row r="39" spans="1:8" ht="15" customHeight="1">
      <c r="A39" s="1"/>
      <c r="B39" s="1"/>
      <c r="C39" s="1"/>
      <c r="D39" s="1"/>
      <c r="E39" s="1"/>
      <c r="F39" s="1"/>
      <c r="G39" s="1"/>
      <c r="H39" s="1"/>
    </row>
    <row r="40" spans="1:8" ht="15" customHeight="1">
      <c r="A40" s="1"/>
      <c r="B40" s="1"/>
      <c r="C40" s="1"/>
      <c r="D40" s="1"/>
      <c r="E40" s="1"/>
      <c r="F40" s="1"/>
      <c r="G40" s="1"/>
      <c r="H40" s="1"/>
    </row>
    <row r="41" spans="1:8" ht="15" customHeight="1">
      <c r="A41" s="1"/>
      <c r="B41" s="1"/>
      <c r="C41" s="1"/>
      <c r="D41" s="1"/>
      <c r="E41" s="1"/>
      <c r="F41" s="1"/>
      <c r="G41" s="1"/>
      <c r="H41" s="1"/>
    </row>
    <row r="42" spans="1:8" ht="15" customHeight="1">
      <c r="A42" s="1"/>
      <c r="B42" s="1"/>
      <c r="C42" s="1"/>
      <c r="D42" s="1"/>
      <c r="E42" s="1"/>
      <c r="F42" s="1"/>
      <c r="G42" s="1"/>
      <c r="H42" s="1"/>
    </row>
    <row r="43" spans="1:8" ht="15" customHeight="1">
      <c r="A43" s="1"/>
      <c r="B43" s="1"/>
      <c r="C43" s="1"/>
      <c r="D43" s="1"/>
      <c r="E43" s="1"/>
      <c r="F43" s="1"/>
      <c r="G43" s="1"/>
      <c r="H43" s="1"/>
    </row>
    <row r="44" spans="1:8" ht="15" customHeight="1">
      <c r="A44" s="1"/>
      <c r="B44" s="1"/>
      <c r="C44" s="1"/>
      <c r="D44" s="1"/>
      <c r="E44" s="1"/>
      <c r="F44" s="1"/>
      <c r="G44" s="1"/>
      <c r="H44" s="1"/>
    </row>
    <row r="45" spans="1:8" ht="15" customHeight="1">
      <c r="A45" s="1"/>
      <c r="B45" s="1"/>
      <c r="C45" s="1"/>
      <c r="D45" s="1"/>
      <c r="E45" s="1"/>
      <c r="F45" s="1"/>
      <c r="G45" s="1"/>
      <c r="H45" s="1"/>
    </row>
    <row r="46" spans="1:8" ht="15" customHeight="1">
      <c r="A46" s="1"/>
      <c r="B46" s="1"/>
      <c r="C46" s="1"/>
      <c r="D46" s="1"/>
      <c r="E46" s="1"/>
      <c r="F46" s="1"/>
      <c r="G46" s="1"/>
      <c r="H46" s="1"/>
    </row>
    <row r="47" spans="1:8" ht="15" customHeight="1">
      <c r="A47" s="1"/>
      <c r="B47" s="1"/>
      <c r="C47" s="1"/>
      <c r="D47" s="1"/>
      <c r="E47" s="1"/>
      <c r="F47" s="1"/>
      <c r="G47" s="1"/>
      <c r="H47" s="1"/>
    </row>
    <row r="48" spans="1:8" ht="15" customHeight="1">
      <c r="A48" s="1"/>
      <c r="B48" s="1"/>
      <c r="C48" s="1"/>
      <c r="D48" s="1"/>
      <c r="E48" s="1"/>
      <c r="F48" s="1"/>
      <c r="G48" s="1"/>
      <c r="H48" s="1"/>
    </row>
  </sheetData>
  <sheetProtection password="EF77" sheet="1" objects="1" scenarios="1"/>
  <mergeCells count="19">
    <mergeCell ref="D23:E23"/>
    <mergeCell ref="B30:C32"/>
    <mergeCell ref="B33:C34"/>
    <mergeCell ref="B19:C20"/>
    <mergeCell ref="D19:E19"/>
    <mergeCell ref="D20:E20"/>
    <mergeCell ref="D21:E21"/>
    <mergeCell ref="D15:E15"/>
    <mergeCell ref="D16:E16"/>
    <mergeCell ref="D17:E17"/>
    <mergeCell ref="D18:E18"/>
    <mergeCell ref="D11:E11"/>
    <mergeCell ref="D12:E12"/>
    <mergeCell ref="D13:E13"/>
    <mergeCell ref="D14:E14"/>
    <mergeCell ref="F5:G5"/>
    <mergeCell ref="B6:D7"/>
    <mergeCell ref="D9:E9"/>
    <mergeCell ref="D10:E10"/>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1"/>
  <headerFooter alignWithMargins="0">
    <oddFooter>&amp;L&amp;F / &amp;A / &amp;D&amp;RSeite &amp;P von &amp;N</oddFooter>
  </headerFooter>
  <ignoredErrors>
    <ignoredError sqref="E6:E7" unlockedFormula="1"/>
  </ignoredErrors>
</worksheet>
</file>

<file path=xl/worksheets/sheet13.xml><?xml version="1.0" encoding="utf-8"?>
<worksheet xmlns="http://schemas.openxmlformats.org/spreadsheetml/2006/main" xmlns:r="http://schemas.openxmlformats.org/officeDocument/2006/relationships">
  <sheetPr codeName="Tabelle10"/>
  <dimension ref="A1:T67"/>
  <sheetViews>
    <sheetView showGridLines="0" showRowColHeaders="0" zoomScale="90" zoomScaleNormal="90" workbookViewId="0" topLeftCell="A1">
      <selection activeCell="L10" sqref="L10"/>
    </sheetView>
  </sheetViews>
  <sheetFormatPr defaultColWidth="11.421875" defaultRowHeight="15" customHeight="1"/>
  <cols>
    <col min="1" max="1" width="5.140625" style="679" customWidth="1"/>
    <col min="2" max="2" width="17.7109375" style="679" customWidth="1"/>
    <col min="3" max="3" width="7.7109375" style="679" customWidth="1"/>
    <col min="4" max="4" width="12.28125" style="679" customWidth="1"/>
    <col min="5" max="5" width="13.28125" style="679" customWidth="1"/>
    <col min="6" max="6" width="4.28125" style="679" customWidth="1"/>
    <col min="7" max="7" width="10.421875" style="679" customWidth="1"/>
    <col min="8" max="9" width="11.28125" style="679" customWidth="1"/>
    <col min="10" max="10" width="3.7109375" style="714" customWidth="1"/>
    <col min="11" max="11" width="10.421875" style="679" customWidth="1"/>
    <col min="12" max="12" width="11.28125" style="679" customWidth="1"/>
    <col min="13" max="13" width="4.28125" style="679" customWidth="1"/>
    <col min="14" max="14" width="10.421875" style="679" customWidth="1"/>
    <col min="15" max="15" width="11.28125" style="679" customWidth="1"/>
    <col min="16" max="17" width="5.7109375" style="679" customWidth="1"/>
    <col min="18" max="31" width="10.421875" style="679" customWidth="1"/>
    <col min="32" max="35" width="11.421875" style="679" customWidth="1"/>
    <col min="36" max="36" width="9.7109375" style="679" customWidth="1"/>
    <col min="37" max="16384" width="11.421875" style="679" customWidth="1"/>
  </cols>
  <sheetData>
    <row r="1" spans="2:15" ht="15" customHeight="1">
      <c r="B1" s="805" t="str">
        <f>Info!B11</f>
        <v>www.guven-kutay.ch</v>
      </c>
      <c r="J1" s="679"/>
      <c r="O1" s="806" t="str">
        <f>Info!N11</f>
        <v>Copyright : M. G. Kutay , Ver 10.02</v>
      </c>
    </row>
    <row r="2" spans="2:15" ht="6.75" customHeight="1">
      <c r="B2" s="680"/>
      <c r="J2" s="679"/>
      <c r="O2" s="681"/>
    </row>
    <row r="3" spans="1:17" ht="15" customHeight="1">
      <c r="A3" s="682"/>
      <c r="B3" s="681" t="str">
        <f>0!C104</f>
        <v>Proje :</v>
      </c>
      <c r="C3" s="683" t="str">
        <f>1!C1</f>
        <v>Takım tezgahı</v>
      </c>
      <c r="D3" s="683"/>
      <c r="E3" s="684"/>
      <c r="F3" s="684"/>
      <c r="G3" s="685"/>
      <c r="H3" s="685"/>
      <c r="I3" s="685"/>
      <c r="J3" s="685"/>
      <c r="K3" s="685"/>
      <c r="M3" s="682"/>
      <c r="Q3" s="682"/>
    </row>
    <row r="4" spans="1:17" ht="6.75" customHeight="1">
      <c r="A4" s="682"/>
      <c r="B4" s="681"/>
      <c r="C4"/>
      <c r="D4"/>
      <c r="E4"/>
      <c r="F4"/>
      <c r="G4"/>
      <c r="H4"/>
      <c r="I4"/>
      <c r="J4"/>
      <c r="K4"/>
      <c r="M4" s="682"/>
      <c r="Q4" s="682"/>
    </row>
    <row r="5" spans="2:10" ht="15" customHeight="1">
      <c r="B5" s="356" t="str">
        <f>0!AF39</f>
        <v>11. İşletme faktörü </v>
      </c>
      <c r="J5" s="679"/>
    </row>
    <row r="6" spans="2:10" ht="6.75" customHeight="1">
      <c r="B6" s="356"/>
      <c r="J6" s="679"/>
    </row>
    <row r="7" spans="2:15" ht="15" customHeight="1">
      <c r="B7" s="1054" t="str">
        <f>IF(Info!I13&gt;2.5,B40,IF(Info!I13&gt;1.5,B36,B32))</f>
        <v>İşletme faktörü dişli çarkın kullanıldığı işletmedeki kuvvetlerin dalgalanmasını ve tahrik elemanı ile tahrik edilen makinanın zorlanma dalgalanmalarını belirler.</v>
      </c>
      <c r="C7" s="1054"/>
      <c r="D7" s="1054"/>
      <c r="E7" s="1054"/>
      <c r="F7" s="1054"/>
      <c r="G7" s="1054"/>
      <c r="H7" s="1054"/>
      <c r="I7" s="1054"/>
      <c r="J7" s="1054"/>
      <c r="K7" s="682"/>
      <c r="M7" s="686" t="str">
        <f>IF(Info!I13&gt;2.5,"Application factor",IF(Info!I13&gt;1.5,"Anwendungsfaktor",IF(Info!I13&gt;0.5,"İşletme faktörü ","")))</f>
        <v>İşletme faktörü </v>
      </c>
      <c r="N7" s="687" t="str">
        <f>IF(Info!I13&gt;2.5,"KA =",IF(Info!I13&gt;1.5,"KA =","KİŞ ="))</f>
        <v>KİŞ =</v>
      </c>
      <c r="O7" s="688">
        <v>1.5</v>
      </c>
    </row>
    <row r="8" spans="2:15" ht="15" customHeight="1">
      <c r="B8" s="1054"/>
      <c r="C8" s="1054"/>
      <c r="D8" s="1054"/>
      <c r="E8" s="1054"/>
      <c r="F8" s="1054"/>
      <c r="G8" s="1054"/>
      <c r="H8" s="1054"/>
      <c r="I8" s="1054"/>
      <c r="J8" s="1054"/>
      <c r="K8" s="689"/>
      <c r="M8" s="690" t="str">
        <f>0!C66</f>
        <v>Kullanıldığı yer</v>
      </c>
      <c r="N8" s="1055" t="str">
        <f>1!F3</f>
        <v>Takım tezgahı</v>
      </c>
      <c r="O8" s="1056"/>
    </row>
    <row r="9" spans="2:10" ht="15" customHeight="1">
      <c r="B9" s="1054"/>
      <c r="C9" s="1054"/>
      <c r="D9" s="1054"/>
      <c r="E9" s="1054"/>
      <c r="F9" s="1054"/>
      <c r="G9" s="1054"/>
      <c r="H9" s="1054"/>
      <c r="I9" s="1054"/>
      <c r="J9" s="1054"/>
    </row>
    <row r="10" spans="2:10" ht="15" customHeight="1">
      <c r="B10" s="691" t="str">
        <f>IF(Info!I13&gt;2.5,"Driving engine",IF(Info!I13&gt;1.5,"Antriebsmaschine","Tahrik eden makina"))</f>
        <v>Tahrik eden makina</v>
      </c>
      <c r="J10" s="679"/>
    </row>
    <row r="11" spans="1:16" ht="15" customHeight="1">
      <c r="A11" s="692" t="s">
        <v>518</v>
      </c>
      <c r="B11" s="693" t="str">
        <f>IF(Info!I13&gt;2.5,"Strong crushes ",IF(Info!I13&gt;1.5,"starke Stösse,","Ağır yüklemeli, kuvvetli darbeli. "))</f>
        <v>Ağır yüklemeli, kuvvetli darbeli. </v>
      </c>
      <c r="C11" s="694"/>
      <c r="D11" s="694"/>
      <c r="E11" s="694" t="str">
        <f>IF(Info!I13&gt;2.5,"for example (e.g.); single cylinder-combustion motors  ",IF(Info!I13&gt;1.5,"z.B. Einzylinder-Verbrennungsmotoren","Örneğin: Tek silindirli motorlar"))</f>
        <v>Örneğin: Tek silindirli motorlar</v>
      </c>
      <c r="F11" s="694"/>
      <c r="G11" s="694"/>
      <c r="H11" s="694"/>
      <c r="I11" s="694"/>
      <c r="J11" s="694"/>
      <c r="K11" s="694"/>
      <c r="L11" s="694"/>
      <c r="M11" s="694"/>
      <c r="N11" s="694"/>
      <c r="O11" s="694"/>
      <c r="P11" s="695"/>
    </row>
    <row r="12" spans="1:16" ht="15" customHeight="1">
      <c r="A12" s="692" t="s">
        <v>519</v>
      </c>
      <c r="B12" s="696" t="str">
        <f>IF(Info!I13&gt;2.5,"Moderate crushes ",IF(Info!I13&gt;1.5,"Mässige Stösse,","Orta yüklemeli, normal darbeli. "))</f>
        <v>Orta yüklemeli, normal darbeli. </v>
      </c>
      <c r="C12" s="697"/>
      <c r="D12" s="697"/>
      <c r="E12" s="697" t="str">
        <f>IF(Info!I13&gt;2.5,"for example (e.g.); more cylinders-combustion motors ",IF(Info!I13&gt;1.5,"z.B.Mehrzylinder-Verbrennungsmotoren","Örneğin: Çok silindirli motorlar"))</f>
        <v>Örneğin: Çok silindirli motorlar</v>
      </c>
      <c r="F12" s="697"/>
      <c r="G12" s="697"/>
      <c r="H12" s="697"/>
      <c r="I12" s="697"/>
      <c r="J12" s="697"/>
      <c r="K12" s="697"/>
      <c r="L12" s="697"/>
      <c r="M12" s="697"/>
      <c r="N12" s="697"/>
      <c r="O12" s="698"/>
      <c r="P12" s="695"/>
    </row>
    <row r="13" spans="1:16" ht="15" customHeight="1">
      <c r="A13" s="692" t="s">
        <v>520</v>
      </c>
      <c r="B13" s="693" t="str">
        <f>IF(Info!I13&gt;2.5,"Light crushes ",IF(Info!I13&gt;1.5,"Leichte Stösse, ","Hafif yüklemeli, düzenli darbeli. "))</f>
        <v>Hafif yüklemeli, düzenli darbeli. </v>
      </c>
      <c r="C13" s="694"/>
      <c r="D13" s="694"/>
      <c r="E13" s="694" t="str">
        <f>IF(Info!I13&gt;2.5,"for example (e.g.); frequent starting moment",IF(Info!I13&gt;1.5,"z.B. häufig auftretennde Anfahrmomente","Örneğin: Düzenli fakat sık sık çalıştırılan makinalar"))</f>
        <v>Örneğin: Düzenli fakat sık sık çalıştırılan makinalar</v>
      </c>
      <c r="F13" s="694"/>
      <c r="G13" s="694"/>
      <c r="H13" s="694"/>
      <c r="I13" s="694"/>
      <c r="J13" s="694"/>
      <c r="K13" s="694"/>
      <c r="L13" s="694"/>
      <c r="M13" s="694"/>
      <c r="N13" s="695"/>
      <c r="O13" s="698"/>
      <c r="P13" s="695"/>
    </row>
    <row r="14" spans="1:16" ht="15" customHeight="1">
      <c r="A14" s="692" t="s">
        <v>521</v>
      </c>
      <c r="B14" s="696" t="str">
        <f>IF(Info!I13&gt;2.5,"Constant crushes ",IF(Info!I13&gt;1.5,"Gleichmässige Stösse,","Düzenli yüklemeli."))</f>
        <v>Düzenli yüklemeli.</v>
      </c>
      <c r="C14" s="697"/>
      <c r="D14" s="697"/>
      <c r="E14" s="697" t="str">
        <f>IF(Info!I13&gt;2.5,"for example (e.g.) ; electric motors, steam turbine, gas turbine",IF(Info!I13&gt;1.5,"z.B. Elektromotren, Dampfturbine, Gasturbine","Örneğin: Elektrik motorları, Buhar türbini, Gas türbini"))</f>
        <v>Örneğin: Elektrik motorları, Buhar türbini, Gas türbini</v>
      </c>
      <c r="F14" s="697"/>
      <c r="G14" s="697"/>
      <c r="H14" s="697"/>
      <c r="I14" s="697"/>
      <c r="J14" s="697"/>
      <c r="K14" s="697"/>
      <c r="L14" s="698"/>
      <c r="M14" s="699"/>
      <c r="N14" s="695"/>
      <c r="O14" s="698"/>
      <c r="P14" s="695"/>
    </row>
    <row r="15" spans="2:16" ht="15" customHeight="1">
      <c r="B15" s="697"/>
      <c r="C15" s="697"/>
      <c r="D15" s="697"/>
      <c r="E15" s="697"/>
      <c r="F15" s="697"/>
      <c r="G15" s="697"/>
      <c r="H15" s="697"/>
      <c r="I15" s="697"/>
      <c r="J15" s="697"/>
      <c r="K15" s="695"/>
      <c r="L15" s="698"/>
      <c r="M15" s="699"/>
      <c r="N15" s="695"/>
      <c r="O15" s="698"/>
      <c r="P15" s="695"/>
    </row>
    <row r="16" spans="2:16" ht="15" customHeight="1">
      <c r="B16" s="691" t="str">
        <f>IF(Info!I13&gt;2.5,"Driven machine",IF(Info!I13&gt;1.5,"Getriebene Maschine","Tahrik edilen makina"))</f>
        <v>Tahrik edilen makina</v>
      </c>
      <c r="J16" s="700"/>
      <c r="K16" s="695"/>
      <c r="L16" s="698"/>
      <c r="M16" s="701"/>
      <c r="N16" s="695"/>
      <c r="O16" s="698"/>
      <c r="P16" s="695"/>
    </row>
    <row r="17" spans="2:15" ht="15" customHeight="1">
      <c r="B17" s="702" t="str">
        <f>B14</f>
        <v>Düzenli yüklemeli.</v>
      </c>
      <c r="C17" s="697"/>
      <c r="D17" s="697"/>
      <c r="E17" s="697"/>
      <c r="F17" s="697"/>
      <c r="G17" s="697"/>
      <c r="H17" s="697"/>
      <c r="I17" s="697"/>
      <c r="J17" s="697"/>
      <c r="K17" s="696"/>
      <c r="L17" s="693"/>
      <c r="M17" s="694"/>
      <c r="N17" s="696"/>
      <c r="O17" s="703"/>
    </row>
    <row r="18" spans="1:15" ht="45" customHeight="1">
      <c r="A18" s="704" t="s">
        <v>522</v>
      </c>
      <c r="B18" s="1048" t="str">
        <f>IF(Info!I13&gt;2.5,B47,IF(Info!I13&gt;1.5,B45,B43))</f>
        <v>Örneğin: Rayda çalışan makinalar, jeneratörler, ceraskallar, takım tezgahları, makaslar, presler, lastik bantlı konveyyörler, hafif yük asansörleri, turbo kompresör, turbo körük, havalandırıcılar, homojen yoğunluklu madde karıştırıcıları ve  yoğurucuları, ...</v>
      </c>
      <c r="C18" s="1049"/>
      <c r="D18" s="1049"/>
      <c r="E18" s="1049"/>
      <c r="F18" s="1049"/>
      <c r="G18" s="1049"/>
      <c r="H18" s="1049"/>
      <c r="I18" s="1049"/>
      <c r="J18" s="1050"/>
      <c r="K18" s="705" t="s">
        <v>367</v>
      </c>
      <c r="L18" s="706" t="s">
        <v>368</v>
      </c>
      <c r="M18" s="707"/>
      <c r="N18" s="705" t="s">
        <v>523</v>
      </c>
      <c r="O18" s="708" t="s">
        <v>524</v>
      </c>
    </row>
    <row r="19" spans="2:15" ht="15" customHeight="1">
      <c r="B19" s="702" t="str">
        <f>B12</f>
        <v>Orta yüklemeli, normal darbeli. </v>
      </c>
      <c r="C19" s="697"/>
      <c r="D19" s="697"/>
      <c r="E19" s="697"/>
      <c r="F19" s="697"/>
      <c r="G19" s="697"/>
      <c r="H19" s="697"/>
      <c r="I19" s="697"/>
      <c r="J19" s="697"/>
      <c r="K19" s="696"/>
      <c r="L19" s="693"/>
      <c r="M19" s="694"/>
      <c r="N19" s="696"/>
      <c r="O19" s="703"/>
    </row>
    <row r="20" spans="1:15" ht="55.5" customHeight="1">
      <c r="A20" s="704" t="s">
        <v>525</v>
      </c>
      <c r="B20" s="1048" t="str">
        <f>IF(Info!I13&gt;2.5,B55,IF(Info!I13&gt;1.5,B53,B51))</f>
        <v>Örneğin: Yol inşaat makinaları, yük asansörleri, çelik bantlı konveyyörler, inşaat asansörleri, vinç dönüş mekanizmaları, tambur kurutucular, boru hattı pompaları, planyalar, homojen yoğunluklta olmayan madde karıştırıcı ve yoğurucuları, endüstiri ve maden ocağı havalandırıcıları, Santrafuj pompalar, çok silindirli pistonlu pompalar, ...</v>
      </c>
      <c r="C20" s="1049"/>
      <c r="D20" s="1049"/>
      <c r="E20" s="1049"/>
      <c r="F20" s="1049"/>
      <c r="G20" s="1049"/>
      <c r="H20" s="1049"/>
      <c r="I20" s="1049"/>
      <c r="J20" s="1050"/>
      <c r="K20" s="705" t="s">
        <v>523</v>
      </c>
      <c r="L20" s="706" t="s">
        <v>526</v>
      </c>
      <c r="M20" s="707"/>
      <c r="N20" s="705" t="s">
        <v>524</v>
      </c>
      <c r="O20" s="708" t="s">
        <v>527</v>
      </c>
    </row>
    <row r="21" spans="2:15" ht="15" customHeight="1">
      <c r="B21" s="702" t="str">
        <f>IF(Info!I13&gt;2.5,"Middel crushes",IF(Info!I13&gt;1.5,"Mittlere Stösse:","Orta yüklemeli, normal darbeli:"))</f>
        <v>Orta yüklemeli, normal darbeli:</v>
      </c>
      <c r="C21" s="697"/>
      <c r="D21" s="697"/>
      <c r="E21" s="697"/>
      <c r="F21" s="697"/>
      <c r="G21" s="697"/>
      <c r="H21" s="697"/>
      <c r="I21" s="697"/>
      <c r="J21" s="697"/>
      <c r="K21" s="696"/>
      <c r="L21" s="693"/>
      <c r="M21" s="694"/>
      <c r="N21" s="696"/>
      <c r="O21" s="703"/>
    </row>
    <row r="22" spans="1:15" ht="60" customHeight="1">
      <c r="A22" s="704" t="s">
        <v>528</v>
      </c>
      <c r="B22" s="1048" t="str">
        <f>IF(Info!I13&gt;2.5,B61,IF(Info!I13&gt;1.5,B59,B57))</f>
        <v>Örneğin: Hafif akışkanlı çalkalayıcılar, santrfujlar, Lastik bantlı konveyyörler, kovalı elevatörler, vantilatörler, ağaç işleme makinaları, vinç yürüyüşleri, dönüş tertibatları, takım tezgahları yardımcı tahrikleri, şişe ve kavanoz doldurma makinaları, ambalaj makinaları, hafif akışkan türbinler, ...</v>
      </c>
      <c r="C22" s="1049"/>
      <c r="D22" s="1049"/>
      <c r="E22" s="1049"/>
      <c r="F22" s="1049"/>
      <c r="G22" s="1049"/>
      <c r="H22" s="1049"/>
      <c r="I22" s="1049"/>
      <c r="J22" s="1050"/>
      <c r="K22" s="705" t="s">
        <v>524</v>
      </c>
      <c r="L22" s="706" t="s">
        <v>529</v>
      </c>
      <c r="M22" s="707"/>
      <c r="N22" s="705" t="s">
        <v>527</v>
      </c>
      <c r="O22" s="708" t="s">
        <v>530</v>
      </c>
    </row>
    <row r="23" spans="2:15" ht="15" customHeight="1">
      <c r="B23" s="702" t="str">
        <f>B11</f>
        <v>Ağır yüklemeli, kuvvetli darbeli. </v>
      </c>
      <c r="C23" s="697"/>
      <c r="D23" s="697"/>
      <c r="E23" s="697"/>
      <c r="F23" s="697"/>
      <c r="G23" s="697"/>
      <c r="H23" s="697"/>
      <c r="I23" s="697"/>
      <c r="J23" s="697"/>
      <c r="K23" s="696"/>
      <c r="L23" s="693"/>
      <c r="M23" s="694"/>
      <c r="N23" s="696"/>
      <c r="O23" s="703"/>
    </row>
    <row r="24" spans="1:15" ht="75" customHeight="1">
      <c r="A24" s="704" t="s">
        <v>170</v>
      </c>
      <c r="B24" s="1048" t="str">
        <f>IF(Info!I13&gt;2.5,B67,IF(Info!I13&gt;1.5,B65,B63))</f>
        <v>Örneğin: Zincirli kovalı ekskavatörler, paletli yürüyüşler, kovalı çarklar, kesici kafalar, kuyu açma mekanizmaları, insan asansörleri, eğik asansörler, yoğurma ve silindirleme makinaları, vinçler ve bumlar, şahmerdanlar, planyalar, presler, makaslar, sıcak basma presleri, haddeler, ağaç işleme makinaları, şerit testereler, tuğla ve briket presleri, şeker kamışı öğütücüleri, pistonlu pompalar ve kompresörler, kırıcılar, değirmenler, ...</v>
      </c>
      <c r="C24" s="1049"/>
      <c r="D24" s="1049"/>
      <c r="E24" s="1049"/>
      <c r="F24" s="1049"/>
      <c r="G24" s="1049"/>
      <c r="H24" s="1049"/>
      <c r="I24" s="1049"/>
      <c r="J24" s="1050"/>
      <c r="K24" s="709" t="s">
        <v>527</v>
      </c>
      <c r="L24" s="710" t="s">
        <v>531</v>
      </c>
      <c r="M24" s="711"/>
      <c r="N24" s="709" t="s">
        <v>532</v>
      </c>
      <c r="O24" s="712" t="s">
        <v>533</v>
      </c>
    </row>
    <row r="25" spans="10:15" ht="15" customHeight="1">
      <c r="J25" s="679"/>
      <c r="K25" s="704" t="s">
        <v>521</v>
      </c>
      <c r="L25" s="704" t="s">
        <v>520</v>
      </c>
      <c r="M25" s="713"/>
      <c r="N25" s="704" t="s">
        <v>519</v>
      </c>
      <c r="O25" s="704" t="s">
        <v>518</v>
      </c>
    </row>
    <row r="26" ht="15" customHeight="1" hidden="1">
      <c r="J26" s="679"/>
    </row>
    <row r="27" ht="15" customHeight="1" hidden="1"/>
    <row r="28" ht="15" customHeight="1" hidden="1"/>
    <row r="29" ht="15" customHeight="1" hidden="1"/>
    <row r="30" ht="15" customHeight="1" hidden="1"/>
    <row r="31" ht="15" customHeight="1" hidden="1"/>
    <row r="32" spans="2:20" ht="15" customHeight="1" hidden="1">
      <c r="B32" s="1051" t="s">
        <v>534</v>
      </c>
      <c r="C32" s="1051"/>
      <c r="D32" s="1051"/>
      <c r="E32" s="1051"/>
      <c r="F32" s="1051"/>
      <c r="G32" s="1051"/>
      <c r="H32" s="1051"/>
      <c r="I32" s="1051"/>
      <c r="L32" s="1"/>
      <c r="M32" s="1"/>
      <c r="N32" s="1"/>
      <c r="O32" s="1"/>
      <c r="P32" s="1"/>
      <c r="Q32" s="1"/>
      <c r="R32" s="1"/>
      <c r="S32" s="1"/>
      <c r="T32" s="1"/>
    </row>
    <row r="33" spans="2:20" ht="15" customHeight="1" hidden="1">
      <c r="B33" s="1051"/>
      <c r="C33" s="1051"/>
      <c r="D33" s="1051"/>
      <c r="E33" s="1051"/>
      <c r="F33" s="1051"/>
      <c r="G33" s="1051"/>
      <c r="H33" s="1051"/>
      <c r="I33" s="1051"/>
      <c r="L33" s="1"/>
      <c r="M33" s="1"/>
      <c r="N33" s="1"/>
      <c r="O33" s="1"/>
      <c r="P33" s="1"/>
      <c r="Q33" s="1"/>
      <c r="R33" s="1"/>
      <c r="S33" s="1"/>
      <c r="T33" s="1"/>
    </row>
    <row r="34" spans="2:20" ht="15" customHeight="1" hidden="1">
      <c r="B34" s="1051"/>
      <c r="C34" s="1051"/>
      <c r="D34" s="1051"/>
      <c r="E34" s="1051"/>
      <c r="F34" s="1051"/>
      <c r="G34" s="1051"/>
      <c r="H34" s="1051"/>
      <c r="I34" s="1051"/>
      <c r="L34" s="1"/>
      <c r="M34" s="1"/>
      <c r="N34" s="1"/>
      <c r="O34" s="1"/>
      <c r="P34" s="1"/>
      <c r="Q34" s="1"/>
      <c r="R34" s="1"/>
      <c r="S34" s="1"/>
      <c r="T34" s="1"/>
    </row>
    <row r="35" spans="12:20" ht="15" customHeight="1" hidden="1">
      <c r="L35" s="1"/>
      <c r="M35" s="1"/>
      <c r="N35" s="1"/>
      <c r="O35" s="1"/>
      <c r="P35" s="1"/>
      <c r="Q35" s="1"/>
      <c r="R35" s="1"/>
      <c r="S35" s="1"/>
      <c r="T35" s="1"/>
    </row>
    <row r="36" spans="2:20" ht="15" customHeight="1" hidden="1">
      <c r="B36" s="1052" t="s">
        <v>535</v>
      </c>
      <c r="C36" s="1053"/>
      <c r="D36" s="1053"/>
      <c r="E36" s="1053"/>
      <c r="F36" s="1053"/>
      <c r="G36" s="1053"/>
      <c r="H36" s="1053"/>
      <c r="I36" s="1053"/>
      <c r="J36" s="716"/>
      <c r="L36" s="1"/>
      <c r="M36" s="1"/>
      <c r="N36" s="1"/>
      <c r="O36" s="1"/>
      <c r="P36" s="1"/>
      <c r="Q36" s="1"/>
      <c r="R36" s="1"/>
      <c r="S36" s="1"/>
      <c r="T36" s="1"/>
    </row>
    <row r="37" spans="2:20" ht="15" customHeight="1" hidden="1">
      <c r="B37" s="1053"/>
      <c r="C37" s="1053"/>
      <c r="D37" s="1053"/>
      <c r="E37" s="1053"/>
      <c r="F37" s="1053"/>
      <c r="G37" s="1053"/>
      <c r="H37" s="1053"/>
      <c r="I37" s="1053"/>
      <c r="J37" s="716"/>
      <c r="L37" s="1"/>
      <c r="M37" s="1"/>
      <c r="N37" s="1"/>
      <c r="O37" s="1"/>
      <c r="P37" s="1"/>
      <c r="Q37" s="1"/>
      <c r="R37" s="1"/>
      <c r="S37" s="1"/>
      <c r="T37" s="1"/>
    </row>
    <row r="38" spans="2:20" ht="15" customHeight="1" hidden="1">
      <c r="B38" s="1053"/>
      <c r="C38" s="1053"/>
      <c r="D38" s="1053"/>
      <c r="E38" s="1053"/>
      <c r="F38" s="1053"/>
      <c r="G38" s="1053"/>
      <c r="H38" s="1053"/>
      <c r="I38" s="1053"/>
      <c r="J38" s="716"/>
      <c r="L38" s="1"/>
      <c r="M38" s="1"/>
      <c r="N38" s="1"/>
      <c r="O38" s="1"/>
      <c r="P38" s="1"/>
      <c r="Q38" s="1"/>
      <c r="R38" s="1"/>
      <c r="S38" s="1"/>
      <c r="T38" s="1"/>
    </row>
    <row r="39" spans="12:20" ht="15" customHeight="1" hidden="1">
      <c r="L39" s="1"/>
      <c r="M39" s="1"/>
      <c r="N39" s="1"/>
      <c r="O39" s="1"/>
      <c r="P39" s="1"/>
      <c r="Q39" s="1"/>
      <c r="R39" s="1"/>
      <c r="S39" s="1"/>
      <c r="T39" s="1"/>
    </row>
    <row r="40" spans="2:20" ht="15" customHeight="1" hidden="1">
      <c r="B40" s="1047" t="s">
        <v>536</v>
      </c>
      <c r="C40" s="1047"/>
      <c r="D40" s="1047"/>
      <c r="E40" s="1047"/>
      <c r="F40" s="1047"/>
      <c r="G40" s="1047"/>
      <c r="H40" s="1047"/>
      <c r="I40" s="1047"/>
      <c r="L40" s="1"/>
      <c r="M40" s="1"/>
      <c r="N40" s="1"/>
      <c r="O40" s="1"/>
      <c r="P40" s="1"/>
      <c r="Q40" s="1"/>
      <c r="R40" s="1"/>
      <c r="S40" s="1"/>
      <c r="T40" s="1"/>
    </row>
    <row r="41" spans="2:20" ht="15" customHeight="1" hidden="1">
      <c r="B41" s="1047"/>
      <c r="C41" s="1047"/>
      <c r="D41" s="1047"/>
      <c r="E41" s="1047"/>
      <c r="F41" s="1047"/>
      <c r="G41" s="1047"/>
      <c r="H41" s="1047"/>
      <c r="I41" s="1047"/>
      <c r="L41" s="1"/>
      <c r="M41" s="1"/>
      <c r="N41" s="1"/>
      <c r="O41" s="1"/>
      <c r="P41" s="1"/>
      <c r="Q41" s="1"/>
      <c r="R41" s="1"/>
      <c r="S41" s="1"/>
      <c r="T41" s="1"/>
    </row>
    <row r="42" spans="2:20" ht="15" customHeight="1" hidden="1">
      <c r="B42" s="1047"/>
      <c r="C42" s="1047"/>
      <c r="D42" s="1047"/>
      <c r="E42" s="1047"/>
      <c r="F42" s="1047"/>
      <c r="G42" s="1047"/>
      <c r="H42" s="1047"/>
      <c r="I42" s="1047"/>
      <c r="L42" s="1"/>
      <c r="M42" s="1"/>
      <c r="N42" s="1"/>
      <c r="O42" s="1"/>
      <c r="P42" s="1"/>
      <c r="Q42" s="1"/>
      <c r="R42" s="1"/>
      <c r="S42" s="1"/>
      <c r="T42" s="1"/>
    </row>
    <row r="43" spans="1:9" ht="45" customHeight="1" hidden="1">
      <c r="A43" s="679" t="s">
        <v>70</v>
      </c>
      <c r="B43" s="1046" t="s">
        <v>537</v>
      </c>
      <c r="C43" s="1046"/>
      <c r="D43" s="1046"/>
      <c r="E43" s="1046"/>
      <c r="F43" s="1046"/>
      <c r="G43" s="1046"/>
      <c r="H43" s="1046"/>
      <c r="I43" s="1046"/>
    </row>
    <row r="44" ht="15" customHeight="1" hidden="1"/>
    <row r="45" spans="1:15" ht="61.5" customHeight="1" hidden="1">
      <c r="A45" s="679" t="s">
        <v>71</v>
      </c>
      <c r="B45" s="1044" t="s">
        <v>538</v>
      </c>
      <c r="C45" s="1044"/>
      <c r="D45" s="1044"/>
      <c r="E45" s="1044"/>
      <c r="F45" s="1044"/>
      <c r="G45" s="1044"/>
      <c r="H45" s="1044"/>
      <c r="I45" s="1044"/>
      <c r="J45" s="715"/>
      <c r="L45" s="717"/>
      <c r="M45" s="717"/>
      <c r="N45" s="718"/>
      <c r="O45" s="718"/>
    </row>
    <row r="46" spans="2:10" ht="15" customHeight="1" hidden="1">
      <c r="B46" s="715"/>
      <c r="C46" s="715"/>
      <c r="D46" s="715"/>
      <c r="E46" s="715"/>
      <c r="F46" s="715"/>
      <c r="G46" s="715"/>
      <c r="H46" s="715"/>
      <c r="I46" s="715"/>
      <c r="J46" s="715"/>
    </row>
    <row r="47" spans="1:10" ht="45" customHeight="1" hidden="1">
      <c r="A47" s="679" t="s">
        <v>72</v>
      </c>
      <c r="B47" s="1045" t="s">
        <v>539</v>
      </c>
      <c r="C47" s="1045"/>
      <c r="D47" s="1045"/>
      <c r="E47" s="1045"/>
      <c r="F47" s="1045"/>
      <c r="G47" s="1045"/>
      <c r="H47" s="1045"/>
      <c r="I47" s="1045"/>
      <c r="J47" s="715"/>
    </row>
    <row r="48" spans="2:10" ht="15" customHeight="1" hidden="1">
      <c r="B48" s="715"/>
      <c r="C48" s="715"/>
      <c r="D48" s="715"/>
      <c r="E48" s="715"/>
      <c r="F48" s="715"/>
      <c r="G48" s="715"/>
      <c r="H48" s="715"/>
      <c r="I48" s="715"/>
      <c r="J48" s="715"/>
    </row>
    <row r="49" ht="15" customHeight="1" hidden="1"/>
    <row r="50" ht="15" customHeight="1" hidden="1"/>
    <row r="51" spans="1:9" ht="51.75" customHeight="1" hidden="1">
      <c r="A51" s="679" t="s">
        <v>70</v>
      </c>
      <c r="B51" s="1043" t="s">
        <v>540</v>
      </c>
      <c r="C51" s="1043"/>
      <c r="D51" s="1043"/>
      <c r="E51" s="1043"/>
      <c r="F51" s="1043"/>
      <c r="G51" s="1043"/>
      <c r="H51" s="1043"/>
      <c r="I51" s="1043"/>
    </row>
    <row r="52" ht="15" customHeight="1" hidden="1"/>
    <row r="53" spans="1:9" ht="54.75" customHeight="1" hidden="1">
      <c r="A53" s="679" t="s">
        <v>71</v>
      </c>
      <c r="B53" s="1044" t="s">
        <v>541</v>
      </c>
      <c r="C53" s="1044"/>
      <c r="D53" s="1044"/>
      <c r="E53" s="1044"/>
      <c r="F53" s="1044"/>
      <c r="G53" s="1044"/>
      <c r="H53" s="1044"/>
      <c r="I53" s="1044"/>
    </row>
    <row r="54" ht="15" customHeight="1" hidden="1"/>
    <row r="55" spans="1:9" ht="57.75" customHeight="1" hidden="1">
      <c r="A55" s="679" t="s">
        <v>72</v>
      </c>
      <c r="B55" s="1045" t="s">
        <v>542</v>
      </c>
      <c r="C55" s="1045"/>
      <c r="D55" s="1045"/>
      <c r="E55" s="1045"/>
      <c r="F55" s="1045"/>
      <c r="G55" s="1045"/>
      <c r="H55" s="1045"/>
      <c r="I55" s="1045"/>
    </row>
    <row r="56" ht="15" customHeight="1" hidden="1"/>
    <row r="57" spans="1:9" ht="60" customHeight="1" hidden="1">
      <c r="A57" s="679" t="s">
        <v>70</v>
      </c>
      <c r="B57" s="1046" t="s">
        <v>543</v>
      </c>
      <c r="C57" s="1046"/>
      <c r="D57" s="1046"/>
      <c r="E57" s="1046"/>
      <c r="F57" s="1046"/>
      <c r="G57" s="1046"/>
      <c r="H57" s="1046"/>
      <c r="I57" s="1046"/>
    </row>
    <row r="58" ht="15" customHeight="1" hidden="1"/>
    <row r="59" spans="1:9" ht="60" customHeight="1" hidden="1">
      <c r="A59" s="679" t="s">
        <v>71</v>
      </c>
      <c r="B59" s="1057" t="s">
        <v>544</v>
      </c>
      <c r="C59" s="1057"/>
      <c r="D59" s="1057"/>
      <c r="E59" s="1057"/>
      <c r="F59" s="1057"/>
      <c r="G59" s="1057"/>
      <c r="H59" s="1057"/>
      <c r="I59" s="1057"/>
    </row>
    <row r="60" ht="15" customHeight="1" hidden="1"/>
    <row r="61" spans="1:9" ht="60" customHeight="1" hidden="1">
      <c r="A61" s="679" t="s">
        <v>72</v>
      </c>
      <c r="B61" s="1045" t="s">
        <v>545</v>
      </c>
      <c r="C61" s="1045"/>
      <c r="D61" s="1045"/>
      <c r="E61" s="1045"/>
      <c r="F61" s="1045"/>
      <c r="G61" s="1045"/>
      <c r="H61" s="1045"/>
      <c r="I61" s="1045"/>
    </row>
    <row r="62" ht="15" customHeight="1" hidden="1"/>
    <row r="63" spans="1:9" ht="75" customHeight="1" hidden="1">
      <c r="A63" s="679" t="s">
        <v>70</v>
      </c>
      <c r="B63" s="1046" t="s">
        <v>546</v>
      </c>
      <c r="C63" s="1046"/>
      <c r="D63" s="1046"/>
      <c r="E63" s="1046"/>
      <c r="F63" s="1046"/>
      <c r="G63" s="1046"/>
      <c r="H63" s="1046"/>
      <c r="I63" s="1046"/>
    </row>
    <row r="64" ht="15" customHeight="1" hidden="1"/>
    <row r="65" spans="1:9" ht="75" customHeight="1" hidden="1">
      <c r="A65" s="679" t="s">
        <v>71</v>
      </c>
      <c r="B65" s="1044" t="s">
        <v>547</v>
      </c>
      <c r="C65" s="1044"/>
      <c r="D65" s="1044"/>
      <c r="E65" s="1044"/>
      <c r="F65" s="1044"/>
      <c r="G65" s="1044"/>
      <c r="H65" s="1044"/>
      <c r="I65" s="1044"/>
    </row>
    <row r="66" ht="15" customHeight="1" hidden="1"/>
    <row r="67" spans="1:9" ht="75" customHeight="1" hidden="1">
      <c r="A67" s="679" t="s">
        <v>72</v>
      </c>
      <c r="B67" s="1045" t="s">
        <v>548</v>
      </c>
      <c r="C67" s="1045"/>
      <c r="D67" s="1045"/>
      <c r="E67" s="1045"/>
      <c r="F67" s="1045"/>
      <c r="G67" s="1045"/>
      <c r="H67" s="1045"/>
      <c r="I67" s="1045"/>
    </row>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sheetData>
  <sheetProtection password="EF77" sheet="1" objects="1" scenarios="1"/>
  <mergeCells count="21">
    <mergeCell ref="B67:I67"/>
    <mergeCell ref="B59:I59"/>
    <mergeCell ref="B61:I61"/>
    <mergeCell ref="B63:I63"/>
    <mergeCell ref="B65:I65"/>
    <mergeCell ref="B7:J9"/>
    <mergeCell ref="N8:O8"/>
    <mergeCell ref="B18:J18"/>
    <mergeCell ref="B20:J20"/>
    <mergeCell ref="B22:J22"/>
    <mergeCell ref="B24:J24"/>
    <mergeCell ref="B32:I34"/>
    <mergeCell ref="B36:I38"/>
    <mergeCell ref="B40:I42"/>
    <mergeCell ref="B43:I43"/>
    <mergeCell ref="B45:I45"/>
    <mergeCell ref="B47:I47"/>
    <mergeCell ref="B51:I51"/>
    <mergeCell ref="B53:I53"/>
    <mergeCell ref="B55:I55"/>
    <mergeCell ref="B57:I57"/>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1"/>
  <headerFooter alignWithMargins="0">
    <oddFooter>&amp;L&amp;F / &amp;A / &amp;D&amp;RSeite &amp;P von &amp;N</oddFooter>
  </headerFooter>
</worksheet>
</file>

<file path=xl/worksheets/sheet2.xml><?xml version="1.0" encoding="utf-8"?>
<worksheet xmlns="http://schemas.openxmlformats.org/spreadsheetml/2006/main" xmlns:r="http://schemas.openxmlformats.org/officeDocument/2006/relationships">
  <sheetPr codeName="Tabelle2"/>
  <dimension ref="A1:BB157"/>
  <sheetViews>
    <sheetView showGridLines="0" showRowColHeaders="0" workbookViewId="0" topLeftCell="A1">
      <selection activeCell="C13" sqref="C13:R15"/>
    </sheetView>
  </sheetViews>
  <sheetFormatPr defaultColWidth="11.421875" defaultRowHeight="12.75"/>
  <cols>
    <col min="1" max="1" width="4.7109375" style="421" customWidth="1"/>
    <col min="2" max="2" width="4.7109375" style="357" customWidth="1"/>
    <col min="3" max="3" width="8.7109375" style="177" customWidth="1"/>
    <col min="4" max="19" width="8.7109375" style="357" customWidth="1"/>
    <col min="20" max="20" width="3.7109375" style="357" customWidth="1"/>
    <col min="21" max="22" width="3.7109375" style="357" hidden="1" customWidth="1"/>
    <col min="23" max="44" width="8.7109375" style="357" hidden="1" customWidth="1"/>
    <col min="45" max="56" width="0" style="357" hidden="1" customWidth="1"/>
    <col min="57" max="58" width="2.7109375" style="357" customWidth="1"/>
    <col min="59" max="16384" width="11.421875" style="357" customWidth="1"/>
  </cols>
  <sheetData>
    <row r="1" spans="23:35" ht="18" customHeight="1">
      <c r="W1" s="355" t="s">
        <v>70</v>
      </c>
      <c r="X1" s="177" t="s">
        <v>176</v>
      </c>
      <c r="Y1" s="177"/>
      <c r="Z1" s="177"/>
      <c r="AB1" s="177"/>
      <c r="AC1" s="422">
        <f>Info!I13</f>
        <v>1</v>
      </c>
      <c r="AD1" s="177"/>
      <c r="AE1" s="177"/>
      <c r="AF1" s="177"/>
      <c r="AG1" s="177"/>
      <c r="AH1" s="177"/>
      <c r="AI1" s="177"/>
    </row>
    <row r="2" spans="3:54" ht="18" customHeight="1">
      <c r="C2" s="423" t="str">
        <f>IF(AC1&gt;2.5,X3,IF(AC1&gt;1.5,X2,X1))</f>
        <v>0. Programın kullanılması</v>
      </c>
      <c r="W2" s="424" t="s">
        <v>71</v>
      </c>
      <c r="X2" s="852" t="s">
        <v>177</v>
      </c>
      <c r="Y2" s="852"/>
      <c r="Z2" s="852"/>
      <c r="AA2" s="852"/>
      <c r="AB2" s="852"/>
      <c r="AC2" s="852"/>
      <c r="AD2" s="852"/>
      <c r="AE2" s="852"/>
      <c r="AF2" s="852"/>
      <c r="AG2" s="852"/>
      <c r="AH2" s="852"/>
      <c r="AI2" s="177"/>
      <c r="AP2" s="301">
        <f>W27+1</f>
        <v>6</v>
      </c>
      <c r="AQ2" s="849" t="s">
        <v>186</v>
      </c>
      <c r="AR2" s="849"/>
      <c r="AS2" s="849"/>
      <c r="AT2" s="849"/>
      <c r="AU2" s="849"/>
      <c r="AV2" s="849"/>
      <c r="AW2" s="849"/>
      <c r="AX2" s="849"/>
      <c r="AY2" s="849"/>
      <c r="AZ2" s="849"/>
      <c r="BA2" s="849"/>
      <c r="BB2" s="849"/>
    </row>
    <row r="3" spans="1:54" ht="18" customHeight="1">
      <c r="A3" s="423"/>
      <c r="W3" s="425" t="s">
        <v>72</v>
      </c>
      <c r="X3" s="850" t="s">
        <v>178</v>
      </c>
      <c r="Y3" s="850"/>
      <c r="Z3" s="850"/>
      <c r="AA3" s="850"/>
      <c r="AB3" s="850"/>
      <c r="AC3" s="850"/>
      <c r="AD3" s="850"/>
      <c r="AE3" s="850"/>
      <c r="AF3" s="850"/>
      <c r="AG3" s="850"/>
      <c r="AH3" s="850"/>
      <c r="AI3" s="177"/>
      <c r="AP3" s="428">
        <f>W29+1</f>
        <v>6</v>
      </c>
      <c r="AQ3" s="852" t="s">
        <v>187</v>
      </c>
      <c r="AR3" s="852"/>
      <c r="AS3" s="852"/>
      <c r="AT3" s="852"/>
      <c r="AU3" s="852"/>
      <c r="AV3" s="852"/>
      <c r="AW3" s="852"/>
      <c r="AX3" s="852"/>
      <c r="AY3" s="852"/>
      <c r="AZ3" s="852"/>
      <c r="BA3" s="852"/>
      <c r="BB3" s="852"/>
    </row>
    <row r="4" spans="1:54" ht="18" customHeight="1">
      <c r="A4" s="179">
        <v>1</v>
      </c>
      <c r="C4" s="851" t="str">
        <f>IF(AC1&gt;2.5,X8,IF(AC1&gt;1.5,X6,X5))</f>
        <v>Bu programı bilgisayarınızda kendinize göre bir yere kopyasını çıkarınız. Hesap yapacağınız zaman bilgisayardaki programı kullanınız.</v>
      </c>
      <c r="D4" s="851"/>
      <c r="E4" s="851"/>
      <c r="F4" s="851"/>
      <c r="G4" s="851"/>
      <c r="H4" s="851"/>
      <c r="I4" s="851"/>
      <c r="J4" s="851"/>
      <c r="K4" s="851"/>
      <c r="L4" s="851"/>
      <c r="M4" s="851"/>
      <c r="N4" s="851"/>
      <c r="O4" s="851"/>
      <c r="P4" s="851"/>
      <c r="Q4" s="851"/>
      <c r="R4" s="851"/>
      <c r="V4" s="421"/>
      <c r="W4" s="177"/>
      <c r="X4" s="177"/>
      <c r="Y4" s="177"/>
      <c r="Z4" s="177"/>
      <c r="AA4" s="426"/>
      <c r="AB4" s="177"/>
      <c r="AC4" s="177"/>
      <c r="AD4" s="177"/>
      <c r="AE4" s="177"/>
      <c r="AF4" s="177"/>
      <c r="AG4" s="177"/>
      <c r="AH4" s="177"/>
      <c r="AI4" s="177"/>
      <c r="AP4" s="429">
        <f>W31+1</f>
        <v>6</v>
      </c>
      <c r="AQ4" s="850" t="s">
        <v>188</v>
      </c>
      <c r="AR4" s="850"/>
      <c r="AS4" s="850"/>
      <c r="AT4" s="850"/>
      <c r="AU4" s="850"/>
      <c r="AV4" s="850"/>
      <c r="AW4" s="850"/>
      <c r="AX4" s="850"/>
      <c r="AY4" s="850"/>
      <c r="AZ4" s="850"/>
      <c r="BA4" s="850"/>
      <c r="BB4" s="850"/>
    </row>
    <row r="5" spans="3:39" ht="18" customHeight="1">
      <c r="C5" s="851"/>
      <c r="D5" s="851"/>
      <c r="E5" s="851"/>
      <c r="F5" s="851"/>
      <c r="G5" s="851"/>
      <c r="H5" s="851"/>
      <c r="I5" s="851"/>
      <c r="J5" s="851"/>
      <c r="K5" s="851"/>
      <c r="L5" s="851"/>
      <c r="M5" s="851"/>
      <c r="N5" s="851"/>
      <c r="O5" s="851"/>
      <c r="P5" s="851"/>
      <c r="Q5" s="851"/>
      <c r="R5" s="851"/>
      <c r="W5" s="301">
        <v>1</v>
      </c>
      <c r="X5" s="849" t="s">
        <v>179</v>
      </c>
      <c r="Y5" s="849"/>
      <c r="Z5" s="849"/>
      <c r="AA5" s="849"/>
      <c r="AB5" s="849"/>
      <c r="AC5" s="849"/>
      <c r="AD5" s="849"/>
      <c r="AE5" s="849"/>
      <c r="AF5" s="849"/>
      <c r="AG5" s="849"/>
      <c r="AH5" s="849"/>
      <c r="AI5" s="849"/>
      <c r="AJ5" s="849"/>
      <c r="AK5" s="849"/>
      <c r="AL5" s="849"/>
      <c r="AM5" s="849"/>
    </row>
    <row r="6" spans="23:54" ht="18" customHeight="1">
      <c r="W6" s="428">
        <v>1</v>
      </c>
      <c r="X6" s="852" t="s">
        <v>180</v>
      </c>
      <c r="Y6" s="852"/>
      <c r="Z6" s="852"/>
      <c r="AA6" s="852"/>
      <c r="AB6" s="852"/>
      <c r="AC6" s="852"/>
      <c r="AD6" s="852"/>
      <c r="AE6" s="852"/>
      <c r="AF6" s="852"/>
      <c r="AG6" s="852"/>
      <c r="AH6" s="852"/>
      <c r="AI6" s="852"/>
      <c r="AJ6" s="852"/>
      <c r="AK6" s="852"/>
      <c r="AL6" s="852"/>
      <c r="AM6" s="852"/>
      <c r="AP6" s="301">
        <f>AP2+1</f>
        <v>7</v>
      </c>
      <c r="AQ6" s="849" t="s">
        <v>189</v>
      </c>
      <c r="AR6" s="849"/>
      <c r="AS6" s="849"/>
      <c r="AT6" s="849"/>
      <c r="AU6" s="849"/>
      <c r="AV6" s="849"/>
      <c r="AW6" s="849"/>
      <c r="AX6" s="849"/>
      <c r="AY6" s="849"/>
      <c r="AZ6" s="849"/>
      <c r="BA6" s="849"/>
      <c r="BB6" s="849"/>
    </row>
    <row r="7" spans="1:54" ht="18" customHeight="1">
      <c r="A7" s="179">
        <f>A4+1</f>
        <v>2</v>
      </c>
      <c r="C7" s="851" t="str">
        <f>IF(AC1&gt;2.5,X14,IF(AC1&gt;1.5,X12,X10))</f>
        <v>Kullanacağınız sayfaya gelince, hesaplamaya başlamadan önce, bütün mavi karelerdeki değerleri siliniz. Böylece dikkatsizlik yanlışı yapma imkanını ortadan kaldırmış olursunuz.</v>
      </c>
      <c r="D7" s="851"/>
      <c r="E7" s="851"/>
      <c r="F7" s="851"/>
      <c r="G7" s="851"/>
      <c r="H7" s="851"/>
      <c r="I7" s="851"/>
      <c r="J7" s="851"/>
      <c r="K7" s="851"/>
      <c r="L7" s="851"/>
      <c r="M7" s="851"/>
      <c r="N7" s="851"/>
      <c r="O7" s="851"/>
      <c r="P7" s="851"/>
      <c r="Q7" s="851"/>
      <c r="R7" s="851"/>
      <c r="X7" s="852"/>
      <c r="Y7" s="852"/>
      <c r="Z7" s="852"/>
      <c r="AA7" s="852"/>
      <c r="AB7" s="852"/>
      <c r="AC7" s="852"/>
      <c r="AD7" s="852"/>
      <c r="AE7" s="852"/>
      <c r="AF7" s="852"/>
      <c r="AG7" s="852"/>
      <c r="AH7" s="852"/>
      <c r="AI7" s="852"/>
      <c r="AJ7" s="852"/>
      <c r="AK7" s="852"/>
      <c r="AL7" s="852"/>
      <c r="AM7" s="852"/>
      <c r="AQ7" s="849"/>
      <c r="AR7" s="849"/>
      <c r="AS7" s="849"/>
      <c r="AT7" s="849"/>
      <c r="AU7" s="849"/>
      <c r="AV7" s="849"/>
      <c r="AW7" s="849"/>
      <c r="AX7" s="849"/>
      <c r="AY7" s="849"/>
      <c r="AZ7" s="849"/>
      <c r="BA7" s="849"/>
      <c r="BB7" s="849"/>
    </row>
    <row r="8" spans="3:54" ht="18" customHeight="1">
      <c r="C8" s="851"/>
      <c r="D8" s="851"/>
      <c r="E8" s="851"/>
      <c r="F8" s="851"/>
      <c r="G8" s="851"/>
      <c r="H8" s="851"/>
      <c r="I8" s="851"/>
      <c r="J8" s="851"/>
      <c r="K8" s="851"/>
      <c r="L8" s="851"/>
      <c r="M8" s="851"/>
      <c r="N8" s="851"/>
      <c r="O8" s="851"/>
      <c r="P8" s="851"/>
      <c r="Q8" s="851"/>
      <c r="R8" s="851"/>
      <c r="W8" s="429">
        <v>1</v>
      </c>
      <c r="X8" s="850" t="s">
        <v>181</v>
      </c>
      <c r="Y8" s="850"/>
      <c r="Z8" s="850"/>
      <c r="AA8" s="850"/>
      <c r="AB8" s="850"/>
      <c r="AC8" s="850"/>
      <c r="AD8" s="850"/>
      <c r="AE8" s="850"/>
      <c r="AF8" s="850"/>
      <c r="AG8" s="850"/>
      <c r="AH8" s="850"/>
      <c r="AI8" s="850"/>
      <c r="AJ8" s="850"/>
      <c r="AK8" s="850"/>
      <c r="AL8" s="850"/>
      <c r="AM8" s="850"/>
      <c r="AQ8" s="849"/>
      <c r="AR8" s="849"/>
      <c r="AS8" s="849"/>
      <c r="AT8" s="849"/>
      <c r="AU8" s="849"/>
      <c r="AV8" s="849"/>
      <c r="AW8" s="849"/>
      <c r="AX8" s="849"/>
      <c r="AY8" s="849"/>
      <c r="AZ8" s="849"/>
      <c r="BA8" s="849"/>
      <c r="BB8" s="849"/>
    </row>
    <row r="9" spans="42:54" ht="18" customHeight="1">
      <c r="AP9" s="300"/>
      <c r="AQ9" s="849"/>
      <c r="AR9" s="849"/>
      <c r="AS9" s="849"/>
      <c r="AT9" s="849"/>
      <c r="AU9" s="849"/>
      <c r="AV9" s="849"/>
      <c r="AW9" s="849"/>
      <c r="AX9" s="849"/>
      <c r="AY9" s="849"/>
      <c r="AZ9" s="849"/>
      <c r="BA9" s="849"/>
      <c r="BB9" s="849"/>
    </row>
    <row r="10" spans="1:54" ht="18" customHeight="1">
      <c r="A10" s="179">
        <f>A7+1</f>
        <v>3</v>
      </c>
      <c r="C10" s="851" t="str">
        <f>IF(AC1&gt;2.5,X20,IF(AC1&gt;1.5,X18,X16))</f>
        <v>Sıra ile mavi karelere yapacağınız hesaba ait değerleri dikkatlice yerleştiriniz. Hesaplamalarınız için gerekli olmayan mavi karelere değerler yerleştirmek yanlış hesap sonuçlarına sebep olabilir. Dikkatli olmak gereklidir.</v>
      </c>
      <c r="D10" s="851"/>
      <c r="E10" s="851"/>
      <c r="F10" s="851"/>
      <c r="G10" s="851"/>
      <c r="H10" s="851"/>
      <c r="I10" s="851"/>
      <c r="J10" s="851"/>
      <c r="K10" s="851"/>
      <c r="L10" s="851"/>
      <c r="M10" s="851"/>
      <c r="N10" s="851"/>
      <c r="O10" s="851"/>
      <c r="P10" s="851"/>
      <c r="Q10" s="851"/>
      <c r="R10" s="851"/>
      <c r="W10" s="301">
        <f>W5+1</f>
        <v>2</v>
      </c>
      <c r="X10" s="849" t="s">
        <v>73</v>
      </c>
      <c r="Y10" s="849"/>
      <c r="Z10" s="849"/>
      <c r="AA10" s="849"/>
      <c r="AB10" s="849"/>
      <c r="AC10" s="849"/>
      <c r="AD10" s="849"/>
      <c r="AE10" s="849"/>
      <c r="AF10" s="849"/>
      <c r="AG10" s="849"/>
      <c r="AH10" s="849"/>
      <c r="AI10" s="849"/>
      <c r="AJ10" s="849"/>
      <c r="AK10" s="849"/>
      <c r="AL10" s="849"/>
      <c r="AM10" s="849"/>
      <c r="AP10" s="428">
        <f>AP3+1</f>
        <v>7</v>
      </c>
      <c r="AQ10" s="852" t="s">
        <v>81</v>
      </c>
      <c r="AR10" s="852"/>
      <c r="AS10" s="852"/>
      <c r="AT10" s="852"/>
      <c r="AU10" s="852"/>
      <c r="AV10" s="852"/>
      <c r="AW10" s="852"/>
      <c r="AX10" s="852"/>
      <c r="AY10" s="852"/>
      <c r="AZ10" s="852"/>
      <c r="BA10" s="852"/>
      <c r="BB10" s="852"/>
    </row>
    <row r="11" spans="3:54" ht="18" customHeight="1">
      <c r="C11" s="851"/>
      <c r="D11" s="851"/>
      <c r="E11" s="851"/>
      <c r="F11" s="851"/>
      <c r="G11" s="851"/>
      <c r="H11" s="851"/>
      <c r="I11" s="851"/>
      <c r="J11" s="851"/>
      <c r="K11" s="851"/>
      <c r="L11" s="851"/>
      <c r="M11" s="851"/>
      <c r="N11" s="851"/>
      <c r="O11" s="851"/>
      <c r="P11" s="851"/>
      <c r="Q11" s="851"/>
      <c r="R11" s="851"/>
      <c r="X11" s="849"/>
      <c r="Y11" s="849"/>
      <c r="Z11" s="849"/>
      <c r="AA11" s="849"/>
      <c r="AB11" s="849"/>
      <c r="AC11" s="849"/>
      <c r="AD11" s="849"/>
      <c r="AE11" s="849"/>
      <c r="AF11" s="849"/>
      <c r="AG11" s="849"/>
      <c r="AH11" s="849"/>
      <c r="AI11" s="849"/>
      <c r="AJ11" s="849"/>
      <c r="AK11" s="849"/>
      <c r="AL11" s="849"/>
      <c r="AM11" s="849"/>
      <c r="AP11" s="301"/>
      <c r="AQ11" s="852"/>
      <c r="AR11" s="852"/>
      <c r="AS11" s="852"/>
      <c r="AT11" s="852"/>
      <c r="AU11" s="852"/>
      <c r="AV11" s="852"/>
      <c r="AW11" s="852"/>
      <c r="AX11" s="852"/>
      <c r="AY11" s="852"/>
      <c r="AZ11" s="852"/>
      <c r="BA11" s="852"/>
      <c r="BB11" s="852"/>
    </row>
    <row r="12" spans="23:54" ht="18" customHeight="1">
      <c r="W12" s="428">
        <f>W6+1</f>
        <v>2</v>
      </c>
      <c r="X12" s="852" t="s">
        <v>77</v>
      </c>
      <c r="Y12" s="852"/>
      <c r="Z12" s="852"/>
      <c r="AA12" s="852"/>
      <c r="AB12" s="852"/>
      <c r="AC12" s="852"/>
      <c r="AD12" s="852"/>
      <c r="AE12" s="852"/>
      <c r="AF12" s="852"/>
      <c r="AG12" s="852"/>
      <c r="AH12" s="852"/>
      <c r="AI12" s="852"/>
      <c r="AJ12" s="852"/>
      <c r="AK12" s="852"/>
      <c r="AL12" s="852"/>
      <c r="AM12" s="852"/>
      <c r="AP12" s="300"/>
      <c r="AQ12" s="852"/>
      <c r="AR12" s="852"/>
      <c r="AS12" s="852"/>
      <c r="AT12" s="852"/>
      <c r="AU12" s="852"/>
      <c r="AV12" s="852"/>
      <c r="AW12" s="852"/>
      <c r="AX12" s="852"/>
      <c r="AY12" s="852"/>
      <c r="AZ12" s="852"/>
      <c r="BA12" s="852"/>
      <c r="BB12" s="852"/>
    </row>
    <row r="13" spans="1:54" ht="18" customHeight="1">
      <c r="A13" s="179">
        <f>A10+1</f>
        <v>4</v>
      </c>
      <c r="C13" s="851" t="str">
        <f>IF(AC1&gt;2.5,X26,IF(AC1&gt;1.5,X24,X21))</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3" s="851"/>
      <c r="E13" s="851"/>
      <c r="F13" s="851"/>
      <c r="G13" s="851"/>
      <c r="H13" s="851"/>
      <c r="I13" s="851"/>
      <c r="J13" s="851"/>
      <c r="K13" s="851"/>
      <c r="L13" s="851"/>
      <c r="M13" s="851"/>
      <c r="N13" s="851"/>
      <c r="O13" s="851"/>
      <c r="P13" s="851"/>
      <c r="Q13" s="851"/>
      <c r="R13" s="851"/>
      <c r="X13" s="852"/>
      <c r="Y13" s="852"/>
      <c r="Z13" s="852"/>
      <c r="AA13" s="852"/>
      <c r="AB13" s="852"/>
      <c r="AC13" s="852"/>
      <c r="AD13" s="852"/>
      <c r="AE13" s="852"/>
      <c r="AF13" s="852"/>
      <c r="AG13" s="852"/>
      <c r="AH13" s="852"/>
      <c r="AI13" s="852"/>
      <c r="AJ13" s="852"/>
      <c r="AK13" s="852"/>
      <c r="AL13" s="852"/>
      <c r="AM13" s="852"/>
      <c r="AP13" s="300"/>
      <c r="AQ13" s="852"/>
      <c r="AR13" s="852"/>
      <c r="AS13" s="852"/>
      <c r="AT13" s="852"/>
      <c r="AU13" s="852"/>
      <c r="AV13" s="852"/>
      <c r="AW13" s="852"/>
      <c r="AX13" s="852"/>
      <c r="AY13" s="852"/>
      <c r="AZ13" s="852"/>
      <c r="BA13" s="852"/>
      <c r="BB13" s="852"/>
    </row>
    <row r="14" spans="3:54" ht="18" customHeight="1">
      <c r="C14" s="851"/>
      <c r="D14" s="851"/>
      <c r="E14" s="851"/>
      <c r="F14" s="851"/>
      <c r="G14" s="851"/>
      <c r="H14" s="851"/>
      <c r="I14" s="851"/>
      <c r="J14" s="851"/>
      <c r="K14" s="851"/>
      <c r="L14" s="851"/>
      <c r="M14" s="851"/>
      <c r="N14" s="851"/>
      <c r="O14" s="851"/>
      <c r="P14" s="851"/>
      <c r="Q14" s="851"/>
      <c r="R14" s="851"/>
      <c r="W14" s="429">
        <f>W8+1</f>
        <v>2</v>
      </c>
      <c r="X14" s="850" t="s">
        <v>182</v>
      </c>
      <c r="Y14" s="850"/>
      <c r="Z14" s="850"/>
      <c r="AA14" s="850"/>
      <c r="AB14" s="850"/>
      <c r="AC14" s="850"/>
      <c r="AD14" s="850"/>
      <c r="AE14" s="850"/>
      <c r="AF14" s="850"/>
      <c r="AG14" s="850"/>
      <c r="AH14" s="850"/>
      <c r="AI14" s="850"/>
      <c r="AJ14" s="850"/>
      <c r="AK14" s="850"/>
      <c r="AL14" s="850"/>
      <c r="AM14" s="850"/>
      <c r="AP14" s="429">
        <f>AP4+1</f>
        <v>7</v>
      </c>
      <c r="AQ14" s="850" t="s">
        <v>190</v>
      </c>
      <c r="AR14" s="850"/>
      <c r="AS14" s="850"/>
      <c r="AT14" s="850"/>
      <c r="AU14" s="850"/>
      <c r="AV14" s="850"/>
      <c r="AW14" s="850"/>
      <c r="AX14" s="850"/>
      <c r="AY14" s="850"/>
      <c r="AZ14" s="850"/>
      <c r="BA14" s="850"/>
      <c r="BB14" s="850"/>
    </row>
    <row r="15" spans="3:54" ht="18" customHeight="1">
      <c r="C15" s="851"/>
      <c r="D15" s="851"/>
      <c r="E15" s="851"/>
      <c r="F15" s="851"/>
      <c r="G15" s="851"/>
      <c r="H15" s="851"/>
      <c r="I15" s="851"/>
      <c r="J15" s="851"/>
      <c r="K15" s="851"/>
      <c r="L15" s="851"/>
      <c r="M15" s="851"/>
      <c r="N15" s="851"/>
      <c r="O15" s="851"/>
      <c r="P15" s="851"/>
      <c r="Q15" s="851"/>
      <c r="R15" s="851"/>
      <c r="AP15" s="301"/>
      <c r="AQ15" s="850"/>
      <c r="AR15" s="850"/>
      <c r="AS15" s="850"/>
      <c r="AT15" s="850"/>
      <c r="AU15" s="850"/>
      <c r="AV15" s="850"/>
      <c r="AW15" s="850"/>
      <c r="AX15" s="850"/>
      <c r="AY15" s="850"/>
      <c r="AZ15" s="850"/>
      <c r="BA15" s="850"/>
      <c r="BB15" s="850"/>
    </row>
    <row r="16" spans="23:54" ht="18" customHeight="1">
      <c r="W16" s="301">
        <f>W10+1</f>
        <v>3</v>
      </c>
      <c r="X16" s="849" t="s">
        <v>74</v>
      </c>
      <c r="Y16" s="849"/>
      <c r="Z16" s="849"/>
      <c r="AA16" s="849"/>
      <c r="AB16" s="849"/>
      <c r="AC16" s="849"/>
      <c r="AD16" s="849"/>
      <c r="AE16" s="849"/>
      <c r="AF16" s="849"/>
      <c r="AG16" s="849"/>
      <c r="AH16" s="849"/>
      <c r="AI16" s="849"/>
      <c r="AJ16" s="849"/>
      <c r="AK16" s="849"/>
      <c r="AL16" s="849"/>
      <c r="AM16" s="849"/>
      <c r="AP16" s="300"/>
      <c r="AQ16" s="850"/>
      <c r="AR16" s="850"/>
      <c r="AS16" s="850"/>
      <c r="AT16" s="850"/>
      <c r="AU16" s="850"/>
      <c r="AV16" s="850"/>
      <c r="AW16" s="850"/>
      <c r="AX16" s="850"/>
      <c r="AY16" s="850"/>
      <c r="AZ16" s="850"/>
      <c r="BA16" s="850"/>
      <c r="BB16" s="850"/>
    </row>
    <row r="17" spans="1:54" ht="18" customHeight="1">
      <c r="A17" s="179">
        <f>A13+1</f>
        <v>5</v>
      </c>
      <c r="C17" s="851" t="str">
        <f>IF(AC1&gt;2.5,X31,IF(AC1&gt;1.5,X29,X27))</f>
        <v>Çoğu mavi karenin çevresinde değerlerin nereden alınması gerektiğini gösteren bilgi bulunmaktadır. Bu gösterilere uyulması hesapların doğruluğu açısından çok önemlidir.</v>
      </c>
      <c r="D17" s="851"/>
      <c r="E17" s="851"/>
      <c r="F17" s="851"/>
      <c r="G17" s="851"/>
      <c r="H17" s="851"/>
      <c r="I17" s="851"/>
      <c r="J17" s="851"/>
      <c r="K17" s="851"/>
      <c r="L17" s="851"/>
      <c r="M17" s="851"/>
      <c r="N17" s="851"/>
      <c r="O17" s="851"/>
      <c r="P17" s="851"/>
      <c r="Q17" s="851"/>
      <c r="R17" s="851"/>
      <c r="X17" s="849"/>
      <c r="Y17" s="849"/>
      <c r="Z17" s="849"/>
      <c r="AA17" s="849"/>
      <c r="AB17" s="849"/>
      <c r="AC17" s="849"/>
      <c r="AD17" s="849"/>
      <c r="AE17" s="849"/>
      <c r="AF17" s="849"/>
      <c r="AG17" s="849"/>
      <c r="AH17" s="849"/>
      <c r="AI17" s="849"/>
      <c r="AJ17" s="849"/>
      <c r="AK17" s="849"/>
      <c r="AL17" s="849"/>
      <c r="AM17" s="849"/>
      <c r="AP17" s="300"/>
      <c r="AQ17" s="850"/>
      <c r="AR17" s="850"/>
      <c r="AS17" s="850"/>
      <c r="AT17" s="850"/>
      <c r="AU17" s="850"/>
      <c r="AV17" s="850"/>
      <c r="AW17" s="850"/>
      <c r="AX17" s="850"/>
      <c r="AY17" s="850"/>
      <c r="AZ17" s="850"/>
      <c r="BA17" s="850"/>
      <c r="BB17" s="850"/>
    </row>
    <row r="18" spans="3:54" ht="18" customHeight="1">
      <c r="C18" s="851"/>
      <c r="D18" s="851"/>
      <c r="E18" s="851"/>
      <c r="F18" s="851"/>
      <c r="G18" s="851"/>
      <c r="H18" s="851"/>
      <c r="I18" s="851"/>
      <c r="J18" s="851"/>
      <c r="K18" s="851"/>
      <c r="L18" s="851"/>
      <c r="M18" s="851"/>
      <c r="N18" s="851"/>
      <c r="O18" s="851"/>
      <c r="P18" s="851"/>
      <c r="Q18" s="851"/>
      <c r="R18" s="851"/>
      <c r="W18" s="428">
        <f>W12+1</f>
        <v>3</v>
      </c>
      <c r="X18" s="852" t="s">
        <v>78</v>
      </c>
      <c r="Y18" s="852"/>
      <c r="Z18" s="852"/>
      <c r="AA18" s="852"/>
      <c r="AB18" s="852"/>
      <c r="AC18" s="852"/>
      <c r="AD18" s="852"/>
      <c r="AE18" s="852"/>
      <c r="AF18" s="852"/>
      <c r="AG18" s="852"/>
      <c r="AH18" s="852"/>
      <c r="AI18" s="852"/>
      <c r="AJ18" s="852"/>
      <c r="AK18" s="852"/>
      <c r="AL18" s="852"/>
      <c r="AM18" s="852"/>
      <c r="AP18" s="301">
        <f>AP6+1</f>
        <v>8</v>
      </c>
      <c r="AQ18" s="849" t="s">
        <v>191</v>
      </c>
      <c r="AR18" s="849"/>
      <c r="AS18" s="849"/>
      <c r="AT18" s="849"/>
      <c r="AU18" s="849"/>
      <c r="AV18" s="849"/>
      <c r="AW18" s="849"/>
      <c r="AX18" s="849"/>
      <c r="AY18" s="849"/>
      <c r="AZ18" s="849"/>
      <c r="BA18" s="849"/>
      <c r="BB18" s="849"/>
    </row>
    <row r="19" spans="1:54" ht="18" customHeight="1">
      <c r="A19" s="179">
        <f>A17+1</f>
        <v>6</v>
      </c>
      <c r="C19" s="839" t="str">
        <f>IF(AC1&gt;2.5,AQ4,IF(AC1&gt;1.5,AQ3,AQ2))</f>
        <v>İnanılır hesapların yapılabilinmesi için konu hakkında gereken teoriyi önceden öğrenmek avantajdır.</v>
      </c>
      <c r="D19" s="839"/>
      <c r="E19" s="839"/>
      <c r="F19" s="839"/>
      <c r="G19" s="839"/>
      <c r="H19" s="839"/>
      <c r="I19" s="839"/>
      <c r="J19" s="839"/>
      <c r="K19" s="839"/>
      <c r="L19" s="839"/>
      <c r="M19" s="839"/>
      <c r="N19" s="839"/>
      <c r="O19" s="839"/>
      <c r="P19" s="839"/>
      <c r="Q19" s="839"/>
      <c r="R19" s="839"/>
      <c r="X19" s="852"/>
      <c r="Y19" s="852"/>
      <c r="Z19" s="852"/>
      <c r="AA19" s="852"/>
      <c r="AB19" s="852"/>
      <c r="AC19" s="852"/>
      <c r="AD19" s="852"/>
      <c r="AE19" s="852"/>
      <c r="AF19" s="852"/>
      <c r="AG19" s="852"/>
      <c r="AH19" s="852"/>
      <c r="AI19" s="852"/>
      <c r="AJ19" s="852"/>
      <c r="AK19" s="852"/>
      <c r="AL19" s="852"/>
      <c r="AM19" s="852"/>
      <c r="AP19" s="300"/>
      <c r="AQ19" s="849"/>
      <c r="AR19" s="849"/>
      <c r="AS19" s="849"/>
      <c r="AT19" s="849"/>
      <c r="AU19" s="849"/>
      <c r="AV19" s="849"/>
      <c r="AW19" s="849"/>
      <c r="AX19" s="849"/>
      <c r="AY19" s="849"/>
      <c r="AZ19" s="849"/>
      <c r="BA19" s="849"/>
      <c r="BB19" s="849"/>
    </row>
    <row r="20" spans="4:54" ht="18" customHeight="1">
      <c r="D20" s="430"/>
      <c r="E20" s="430"/>
      <c r="F20" s="430"/>
      <c r="G20" s="430"/>
      <c r="H20" s="430"/>
      <c r="I20" s="430"/>
      <c r="J20" s="430"/>
      <c r="K20" s="430"/>
      <c r="L20" s="430"/>
      <c r="M20" s="430"/>
      <c r="N20" s="430"/>
      <c r="O20" s="430"/>
      <c r="P20" s="430"/>
      <c r="Q20" s="430"/>
      <c r="R20" s="430"/>
      <c r="W20" s="429">
        <f>W14+1</f>
        <v>3</v>
      </c>
      <c r="X20" s="850" t="s">
        <v>183</v>
      </c>
      <c r="Y20" s="850"/>
      <c r="Z20" s="850"/>
      <c r="AA20" s="850"/>
      <c r="AB20" s="850"/>
      <c r="AC20" s="850"/>
      <c r="AD20" s="850"/>
      <c r="AE20" s="850"/>
      <c r="AF20" s="850"/>
      <c r="AG20" s="850"/>
      <c r="AH20" s="850"/>
      <c r="AI20" s="850"/>
      <c r="AJ20" s="850"/>
      <c r="AK20" s="850"/>
      <c r="AL20" s="850"/>
      <c r="AM20" s="850"/>
      <c r="AP20" s="434">
        <f>AP18</f>
        <v>8</v>
      </c>
      <c r="AQ20" s="852" t="s">
        <v>192</v>
      </c>
      <c r="AR20" s="852"/>
      <c r="AS20" s="852"/>
      <c r="AT20" s="852"/>
      <c r="AU20" s="852"/>
      <c r="AV20" s="852"/>
      <c r="AW20" s="852"/>
      <c r="AX20" s="852"/>
      <c r="AY20" s="852"/>
      <c r="AZ20" s="852"/>
      <c r="BA20" s="852"/>
      <c r="BB20" s="852"/>
    </row>
    <row r="21" spans="1:54" ht="18" customHeight="1">
      <c r="A21" s="179">
        <f>A19+1</f>
        <v>7</v>
      </c>
      <c r="C21" s="851" t="str">
        <f>IF(AC1&gt;2.5,AQ14,IF(AC1&gt;1.5,AQ10,AQ6))</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21" s="851"/>
      <c r="E21" s="851"/>
      <c r="F21" s="851"/>
      <c r="G21" s="851"/>
      <c r="H21" s="851"/>
      <c r="I21" s="851"/>
      <c r="J21" s="851"/>
      <c r="K21" s="851"/>
      <c r="L21" s="851"/>
      <c r="M21" s="851"/>
      <c r="N21" s="851"/>
      <c r="O21" s="851"/>
      <c r="P21" s="851"/>
      <c r="Q21" s="851"/>
      <c r="R21" s="851"/>
      <c r="W21" s="301">
        <f>W16+1</f>
        <v>4</v>
      </c>
      <c r="X21" s="849" t="s">
        <v>75</v>
      </c>
      <c r="Y21" s="849"/>
      <c r="Z21" s="849"/>
      <c r="AA21" s="849"/>
      <c r="AB21" s="849"/>
      <c r="AC21" s="849"/>
      <c r="AD21" s="849"/>
      <c r="AE21" s="849"/>
      <c r="AF21" s="849"/>
      <c r="AG21" s="849"/>
      <c r="AH21" s="849"/>
      <c r="AI21" s="849"/>
      <c r="AJ21" s="849"/>
      <c r="AK21" s="849"/>
      <c r="AL21" s="849"/>
      <c r="AM21" s="849"/>
      <c r="AP21" s="300"/>
      <c r="AQ21" s="852"/>
      <c r="AR21" s="852"/>
      <c r="AS21" s="852"/>
      <c r="AT21" s="852"/>
      <c r="AU21" s="852"/>
      <c r="AV21" s="852"/>
      <c r="AW21" s="852"/>
      <c r="AX21" s="852"/>
      <c r="AY21" s="852"/>
      <c r="AZ21" s="852"/>
      <c r="BA21" s="852"/>
      <c r="BB21" s="852"/>
    </row>
    <row r="22" spans="1:54" ht="18" customHeight="1">
      <c r="A22" s="179"/>
      <c r="C22" s="851"/>
      <c r="D22" s="851"/>
      <c r="E22" s="851"/>
      <c r="F22" s="851"/>
      <c r="G22" s="851"/>
      <c r="H22" s="851"/>
      <c r="I22" s="851"/>
      <c r="J22" s="851"/>
      <c r="K22" s="851"/>
      <c r="L22" s="851"/>
      <c r="M22" s="851"/>
      <c r="N22" s="851"/>
      <c r="O22" s="851"/>
      <c r="P22" s="851"/>
      <c r="Q22" s="851"/>
      <c r="R22" s="851"/>
      <c r="X22" s="849"/>
      <c r="Y22" s="849"/>
      <c r="Z22" s="849"/>
      <c r="AA22" s="849"/>
      <c r="AB22" s="849"/>
      <c r="AC22" s="849"/>
      <c r="AD22" s="849"/>
      <c r="AE22" s="849"/>
      <c r="AF22" s="849"/>
      <c r="AG22" s="849"/>
      <c r="AH22" s="849"/>
      <c r="AI22" s="849"/>
      <c r="AJ22" s="849"/>
      <c r="AK22" s="849"/>
      <c r="AL22" s="849"/>
      <c r="AM22" s="849"/>
      <c r="AP22" s="435">
        <f>AP20</f>
        <v>8</v>
      </c>
      <c r="AQ22" s="850" t="s">
        <v>193</v>
      </c>
      <c r="AR22" s="850"/>
      <c r="AS22" s="850"/>
      <c r="AT22" s="850"/>
      <c r="AU22" s="850"/>
      <c r="AV22" s="850"/>
      <c r="AW22" s="850"/>
      <c r="AX22" s="850"/>
      <c r="AY22" s="850"/>
      <c r="AZ22" s="850"/>
      <c r="BA22" s="850"/>
      <c r="BB22" s="850"/>
    </row>
    <row r="23" spans="3:54" ht="18" customHeight="1">
      <c r="C23" s="851"/>
      <c r="D23" s="851"/>
      <c r="E23" s="851"/>
      <c r="F23" s="851"/>
      <c r="G23" s="851"/>
      <c r="H23" s="851"/>
      <c r="I23" s="851"/>
      <c r="J23" s="851"/>
      <c r="K23" s="851"/>
      <c r="L23" s="851"/>
      <c r="M23" s="851"/>
      <c r="N23" s="851"/>
      <c r="O23" s="851"/>
      <c r="P23" s="851"/>
      <c r="Q23" s="851"/>
      <c r="R23" s="851"/>
      <c r="X23" s="849"/>
      <c r="Y23" s="849"/>
      <c r="Z23" s="849"/>
      <c r="AA23" s="849"/>
      <c r="AB23" s="849"/>
      <c r="AC23" s="849"/>
      <c r="AD23" s="849"/>
      <c r="AE23" s="849"/>
      <c r="AF23" s="849"/>
      <c r="AG23" s="849"/>
      <c r="AH23" s="849"/>
      <c r="AI23" s="849"/>
      <c r="AJ23" s="849"/>
      <c r="AK23" s="849"/>
      <c r="AL23" s="849"/>
      <c r="AM23" s="849"/>
      <c r="AQ23" s="850"/>
      <c r="AR23" s="850"/>
      <c r="AS23" s="850"/>
      <c r="AT23" s="850"/>
      <c r="AU23" s="850"/>
      <c r="AV23" s="850"/>
      <c r="AW23" s="850"/>
      <c r="AX23" s="850"/>
      <c r="AY23" s="850"/>
      <c r="AZ23" s="850"/>
      <c r="BA23" s="850"/>
      <c r="BB23" s="850"/>
    </row>
    <row r="24" spans="3:39" ht="18" customHeight="1">
      <c r="C24" s="851"/>
      <c r="D24" s="851"/>
      <c r="E24" s="851"/>
      <c r="F24" s="851"/>
      <c r="G24" s="851"/>
      <c r="H24" s="851"/>
      <c r="I24" s="851"/>
      <c r="J24" s="851"/>
      <c r="K24" s="851"/>
      <c r="L24" s="851"/>
      <c r="M24" s="851"/>
      <c r="N24" s="851"/>
      <c r="O24" s="851"/>
      <c r="P24" s="851"/>
      <c r="Q24" s="851"/>
      <c r="R24" s="851"/>
      <c r="W24" s="428">
        <f>W18+1</f>
        <v>4</v>
      </c>
      <c r="X24" s="852" t="s">
        <v>79</v>
      </c>
      <c r="Y24" s="852"/>
      <c r="Z24" s="852"/>
      <c r="AA24" s="852"/>
      <c r="AB24" s="852"/>
      <c r="AC24" s="852"/>
      <c r="AD24" s="852"/>
      <c r="AE24" s="852"/>
      <c r="AF24" s="852"/>
      <c r="AG24" s="852"/>
      <c r="AH24" s="852"/>
      <c r="AI24" s="852"/>
      <c r="AJ24" s="852"/>
      <c r="AK24" s="852"/>
      <c r="AL24" s="852"/>
      <c r="AM24" s="852"/>
    </row>
    <row r="25" spans="1:39" ht="18" customHeight="1">
      <c r="A25" s="179">
        <f>A21+1</f>
        <v>8</v>
      </c>
      <c r="C25" s="851" t="str">
        <f>IF(AC1&gt;2.5,AQ22,IF(AC1&gt;1.5,AQ20,AQ18))</f>
        <v>Eğer hesaplamalarında özel bir konstruksiyonun hesabı gerekiyorsa veya öğrenmek istediğiniz bir şey varsa, hiç çekinmeden bizimle temasa geçebilirsiniz. Bilgimizin yettiği kadar size memnuniyetle yardım ederiz.</v>
      </c>
      <c r="D25" s="851"/>
      <c r="E25" s="851"/>
      <c r="F25" s="851"/>
      <c r="G25" s="851"/>
      <c r="H25" s="851"/>
      <c r="I25" s="851"/>
      <c r="J25" s="851"/>
      <c r="K25" s="851"/>
      <c r="L25" s="851"/>
      <c r="M25" s="851"/>
      <c r="N25" s="851"/>
      <c r="O25" s="851"/>
      <c r="P25" s="851"/>
      <c r="Q25" s="851"/>
      <c r="R25" s="851"/>
      <c r="W25" s="301"/>
      <c r="X25" s="852"/>
      <c r="Y25" s="852"/>
      <c r="Z25" s="852"/>
      <c r="AA25" s="852"/>
      <c r="AB25" s="852"/>
      <c r="AC25" s="852"/>
      <c r="AD25" s="852"/>
      <c r="AE25" s="852"/>
      <c r="AF25" s="852"/>
      <c r="AG25" s="852"/>
      <c r="AH25" s="852"/>
      <c r="AI25" s="852"/>
      <c r="AJ25" s="852"/>
      <c r="AK25" s="852"/>
      <c r="AL25" s="852"/>
      <c r="AM25" s="852"/>
    </row>
    <row r="26" spans="3:39" ht="18" customHeight="1">
      <c r="C26" s="851"/>
      <c r="D26" s="851"/>
      <c r="E26" s="851"/>
      <c r="F26" s="851"/>
      <c r="G26" s="851"/>
      <c r="H26" s="851"/>
      <c r="I26" s="851"/>
      <c r="J26" s="851"/>
      <c r="K26" s="851"/>
      <c r="L26" s="851"/>
      <c r="M26" s="851"/>
      <c r="N26" s="851"/>
      <c r="O26" s="851"/>
      <c r="P26" s="851"/>
      <c r="Q26" s="851"/>
      <c r="R26" s="851"/>
      <c r="W26" s="429">
        <f>W20+1</f>
        <v>4</v>
      </c>
      <c r="X26" s="850" t="s">
        <v>184</v>
      </c>
      <c r="Y26" s="850"/>
      <c r="Z26" s="850"/>
      <c r="AA26" s="850"/>
      <c r="AB26" s="850"/>
      <c r="AC26" s="850"/>
      <c r="AD26" s="850"/>
      <c r="AE26" s="850"/>
      <c r="AF26" s="850"/>
      <c r="AG26" s="850"/>
      <c r="AH26" s="850"/>
      <c r="AI26" s="850"/>
      <c r="AJ26" s="850"/>
      <c r="AK26" s="850"/>
      <c r="AL26" s="850"/>
      <c r="AM26" s="850"/>
    </row>
    <row r="27" spans="23:39" ht="18" customHeight="1">
      <c r="W27" s="301">
        <f>W21+1</f>
        <v>5</v>
      </c>
      <c r="X27" s="849" t="s">
        <v>76</v>
      </c>
      <c r="Y27" s="849"/>
      <c r="Z27" s="849"/>
      <c r="AA27" s="849"/>
      <c r="AB27" s="849"/>
      <c r="AC27" s="849"/>
      <c r="AD27" s="849"/>
      <c r="AE27" s="849"/>
      <c r="AF27" s="849"/>
      <c r="AG27" s="849"/>
      <c r="AH27" s="849"/>
      <c r="AI27" s="849"/>
      <c r="AJ27" s="849"/>
      <c r="AK27" s="849"/>
      <c r="AL27" s="849"/>
      <c r="AM27" s="849"/>
    </row>
    <row r="28" spans="4:39" ht="18" customHeight="1">
      <c r="D28" s="401" t="str">
        <f>Info!B11</f>
        <v>www.guven-kutay.ch</v>
      </c>
      <c r="I28" s="431"/>
      <c r="J28" s="430"/>
      <c r="K28" s="431" t="str">
        <f>Info!G11</f>
        <v>e-mail :  info@guven-kutay.ch</v>
      </c>
      <c r="L28" s="430"/>
      <c r="M28" s="430"/>
      <c r="O28" s="432"/>
      <c r="P28" s="432"/>
      <c r="R28" s="430"/>
      <c r="X28" s="849"/>
      <c r="Y28" s="849"/>
      <c r="Z28" s="849"/>
      <c r="AA28" s="849"/>
      <c r="AB28" s="849"/>
      <c r="AC28" s="849"/>
      <c r="AD28" s="849"/>
      <c r="AE28" s="849"/>
      <c r="AF28" s="849"/>
      <c r="AG28" s="849"/>
      <c r="AH28" s="849"/>
      <c r="AI28" s="849"/>
      <c r="AJ28" s="849"/>
      <c r="AK28" s="849"/>
      <c r="AL28" s="849"/>
      <c r="AM28" s="849"/>
    </row>
    <row r="29" spans="23:39" ht="18" customHeight="1">
      <c r="W29" s="428">
        <f>W24+1</f>
        <v>5</v>
      </c>
      <c r="X29" s="852" t="s">
        <v>80</v>
      </c>
      <c r="Y29" s="852"/>
      <c r="Z29" s="852"/>
      <c r="AA29" s="852"/>
      <c r="AB29" s="852"/>
      <c r="AC29" s="852"/>
      <c r="AD29" s="852"/>
      <c r="AE29" s="852"/>
      <c r="AF29" s="852"/>
      <c r="AG29" s="852"/>
      <c r="AH29" s="852"/>
      <c r="AI29" s="852"/>
      <c r="AJ29" s="852"/>
      <c r="AK29" s="852"/>
      <c r="AL29" s="852"/>
      <c r="AM29" s="852"/>
    </row>
    <row r="30" spans="24:39" ht="18" customHeight="1">
      <c r="X30" s="852"/>
      <c r="Y30" s="852"/>
      <c r="Z30" s="852"/>
      <c r="AA30" s="852"/>
      <c r="AB30" s="852"/>
      <c r="AC30" s="852"/>
      <c r="AD30" s="852"/>
      <c r="AE30" s="852"/>
      <c r="AF30" s="852"/>
      <c r="AG30" s="852"/>
      <c r="AH30" s="852"/>
      <c r="AI30" s="852"/>
      <c r="AJ30" s="852"/>
      <c r="AK30" s="852"/>
      <c r="AL30" s="852"/>
      <c r="AM30" s="852"/>
    </row>
    <row r="31" spans="3:39" ht="18" customHeight="1" hidden="1">
      <c r="C31" s="357"/>
      <c r="D31" s="398"/>
      <c r="E31" s="398"/>
      <c r="F31" s="398"/>
      <c r="H31" s="398"/>
      <c r="I31" s="398"/>
      <c r="J31" s="398"/>
      <c r="K31" s="398"/>
      <c r="L31" s="398"/>
      <c r="M31" s="398"/>
      <c r="N31" s="398"/>
      <c r="O31" s="398"/>
      <c r="P31" s="398"/>
      <c r="Q31" s="398"/>
      <c r="R31" s="398"/>
      <c r="W31" s="429">
        <f>W26+1</f>
        <v>5</v>
      </c>
      <c r="X31" s="850" t="s">
        <v>185</v>
      </c>
      <c r="Y31" s="850"/>
      <c r="Z31" s="850"/>
      <c r="AA31" s="850"/>
      <c r="AB31" s="850"/>
      <c r="AC31" s="850"/>
      <c r="AD31" s="850"/>
      <c r="AE31" s="850"/>
      <c r="AF31" s="850"/>
      <c r="AG31" s="850"/>
      <c r="AH31" s="850"/>
      <c r="AI31" s="850"/>
      <c r="AJ31" s="850"/>
      <c r="AK31" s="850"/>
      <c r="AL31" s="850"/>
      <c r="AM31" s="850"/>
    </row>
    <row r="32" spans="3:39" ht="18" customHeight="1" hidden="1">
      <c r="C32" s="357"/>
      <c r="X32" s="850"/>
      <c r="Y32" s="850"/>
      <c r="Z32" s="850"/>
      <c r="AA32" s="850"/>
      <c r="AB32" s="850"/>
      <c r="AC32" s="850"/>
      <c r="AD32" s="850"/>
      <c r="AE32" s="850"/>
      <c r="AF32" s="850"/>
      <c r="AG32" s="850"/>
      <c r="AH32" s="850"/>
      <c r="AI32" s="850"/>
      <c r="AJ32" s="850"/>
      <c r="AK32" s="850"/>
      <c r="AL32" s="850"/>
      <c r="AM32" s="850"/>
    </row>
    <row r="33" spans="3:39" ht="18" customHeight="1" hidden="1">
      <c r="C33" s="357"/>
      <c r="X33" s="425"/>
      <c r="Y33" s="425"/>
      <c r="Z33" s="425"/>
      <c r="AA33" s="425"/>
      <c r="AB33" s="425"/>
      <c r="AC33" s="425"/>
      <c r="AD33" s="425"/>
      <c r="AE33" s="425"/>
      <c r="AF33" s="425"/>
      <c r="AG33" s="425"/>
      <c r="AH33" s="425"/>
      <c r="AI33" s="425"/>
      <c r="AJ33" s="425"/>
      <c r="AK33" s="425"/>
      <c r="AL33" s="425"/>
      <c r="AM33" s="425"/>
    </row>
    <row r="34" spans="25:39" ht="18" customHeight="1" hidden="1">
      <c r="Y34" s="425"/>
      <c r="Z34" s="425"/>
      <c r="AA34" s="425"/>
      <c r="AB34" s="425"/>
      <c r="AC34" s="425"/>
      <c r="AD34" s="425"/>
      <c r="AE34" s="425"/>
      <c r="AF34" s="438" t="str">
        <f>IF(Info!I13&gt;2.5,"1. Base items",IF(Info!I13&gt;1.5,"1. Grundgrössen",IF(Info!I13&gt;0.5,"1. Temel değerler","")))</f>
        <v>1. Temel değerler</v>
      </c>
      <c r="AG34" s="425"/>
      <c r="AH34" s="425"/>
      <c r="AI34" s="425"/>
      <c r="AJ34" s="425"/>
      <c r="AK34" s="425"/>
      <c r="AL34" s="425"/>
      <c r="AM34" s="425"/>
    </row>
    <row r="35" spans="3:32" ht="18" customHeight="1" hidden="1">
      <c r="C35" s="455" t="str">
        <f>IF(Info!I13&gt;2.5,"1 - Cast iron (GG, GGG)",IF(Info!I13&gt;1.5,"1 - Gusseisen (GG, GGG)",IF(Info!I13&gt;0.5,"1 - Demir döküm (GG, GGG)","")))</f>
        <v>1 - Demir döküm (GG, GGG)</v>
      </c>
      <c r="P35" s="438" t="str">
        <f>IF(Info!I13&gt;2.5,"1. Stage",IF(Info!I13&gt;1.5,"1. Stufe","1. Kademe"))</f>
        <v>1. Kademe</v>
      </c>
      <c r="X35" s="438" t="str">
        <f>IF(Info!I13&gt;2.5,"2. Geometrical data of 1. stage",IF(Info!I13&gt;1.5,"2. Geometrische Daten der 1. Stufe ",IF(Info!I13&gt;0.5,"2.  1. Kademenin geometrik ölçüleri ","")))</f>
        <v>2.  1. Kademenin geometrik ölçüleri </v>
      </c>
      <c r="AF35" s="457" t="str">
        <f>IF(Info!I13&gt;2.5,"3. Calculations of strength, 1. stage",IF(Info!I13&gt;1.5,"3. Festigkeitsberechnungen der 1. Stufe",IF(Info!I13&gt;0.5,"3.   1. Kademeninde mukavemet hesapları  ","")))</f>
        <v>3.   1. Kademeninde mukavemet hesapları  </v>
      </c>
    </row>
    <row r="36" spans="3:32" ht="18" customHeight="1" hidden="1">
      <c r="C36" s="455" t="str">
        <f>IF(Info!I13&gt;2.5,"2 - All iron, (Rm&lt;800 N/mm2, St, GS)",IF(Info!I13&gt;1.5,"2 - Alle Stähle, (Rm&lt;800 N/mm2, St, GS)",IF(Info!I13&gt;0.5,"2 - Bütün çelikler, (Rm&lt;800 N/mm2, St, GS)","")))</f>
        <v>2 - Bütün çelikler, (Rm&lt;800 N/mm2, St, GS)</v>
      </c>
      <c r="P36" s="438" t="str">
        <f>IF(Info!I13&gt;2.5,"2. Stage",IF(Info!I13&gt;1.5,"2. Stufe","2. Kademe"))</f>
        <v>2. Kademe</v>
      </c>
      <c r="X36" s="457" t="str">
        <f>IF(Info!I13&gt;2.5,"4. Geometrical data of 2. stage",IF(Info!I13&gt;1.5,"4. Geometrische Daten der 2. Stufe ",IF(Info!I13&gt;0.5,"4.  2. Kademenin geometrik ölçüleri ","")))</f>
        <v>4.  2. Kademenin geometrik ölçüleri </v>
      </c>
      <c r="AF36" s="457" t="str">
        <f>IF(Info!I13&gt;2.5,"5. Calculations of strength, 2. stage",IF(Info!I13&gt;1.5,"5. Festigkeitsberechnungen der 2. Stufe",IF(Info!I13&gt;0.5,"5.   2. Kademeninde mukavemet hesapları  ","")))</f>
        <v>5.   2. Kademeninde mukavemet hesapları  </v>
      </c>
    </row>
    <row r="37" spans="3:32" s="300" customFormat="1" ht="18" customHeight="1" hidden="1">
      <c r="C37" s="438" t="str">
        <f>IF(Info!I13&gt;2.5,"2. Tempered steel, structural steel",IF(Info!I13&gt;1.5,"2. Vergütungsstahl, Baustahl","2. İslah ve İmalat çelikleri"))</f>
        <v>2. İslah ve İmalat çelikleri</v>
      </c>
      <c r="P37" s="438" t="str">
        <f>IF(Info!I13&gt;2.5,"3. Stage",IF(Info!I13&gt;1.5,"3. Stufe","3. Kademe"))</f>
        <v>3. Kademe</v>
      </c>
      <c r="X37" s="438" t="str">
        <f>IF(Info!I13&gt;2.5,"6. Geometrical data of 3. stage",IF(Info!I13&gt;1.5,"6. Geometrische Daten der 3. Stufe ",IF(Info!I13&gt;0.5,"6.  3. Kademenin geometrik ölçüleri ","")))</f>
        <v>6.  3. Kademenin geometrik ölçüleri </v>
      </c>
      <c r="AF37" s="438" t="str">
        <f>IF(Info!I13&gt;2.5,"7. Calculations of strength, 3. stage",IF(Info!I13&gt;1.5,"7. Festigkeitsberechnungen der 3. Stufe",IF(Info!I13&gt;0.5,"7.   3. Kademeninde mukavemet hesapları  ","")))</f>
        <v>7.   3. Kademeninde mukavemet hesapları  </v>
      </c>
    </row>
    <row r="38" spans="3:32" s="300" customFormat="1" ht="18" customHeight="1" hidden="1">
      <c r="C38" s="445" t="str">
        <f>IF(Info!I13&gt;2.5,"3 - All hardness iron, (Rm&gt;800 N/mm2)",IF(Info!I13&gt;1.5,"3 - Alle gehärtete Stähle, (Rm&gt;800 N/mm2)",IF(Info!I13&gt;0.5,"3 - Bütün sertleştirilmiş çelikler, (Rm&gt;800 N/mm2)","")))</f>
        <v>3 - Bütün sertleştirilmiş çelikler, (Rm&gt;800 N/mm2)</v>
      </c>
      <c r="X38" s="438" t="str">
        <f>IF(Info!I13&gt;2.5,"8. All values of fabrication",IF(Info!I13&gt;1.5,"8. Alle Herstellungsdaten",IF(Info!I13&gt;0.5,"8. Bütün İmalat ölçüleri ","")))</f>
        <v>8. Bütün İmalat ölçüleri </v>
      </c>
      <c r="AF38" s="438" t="str">
        <f>IF(Info!I13&gt;2.5,"9. Tolerances and Wk-tolerances",IF(Info!I13&gt;1.5,"9. Toleranzen und   Wk-Toleranzen",IF(Info!I13&gt;0.5,"9- Toleranslar ve Wk-Toleransları","")))</f>
        <v>9- Toleranslar ve Wk-Toleransları</v>
      </c>
    </row>
    <row r="39" spans="3:32" s="300" customFormat="1" ht="18" customHeight="1" hidden="1">
      <c r="C39" s="438" t="str">
        <f>IF(Info!I13&gt;2.5,"A) Foot stress calculation",IF(Info!I13&gt;1.5,"A) Zahnfussbruch-Festigkeitskontrolle",IF(Info!I13&gt;0.5,"A) Diş dibi kırılma mukavemet hesabı","")))</f>
        <v>A) Diş dibi kırılma mukavemet hesabı</v>
      </c>
      <c r="X39" s="438" t="str">
        <f>IF(Info!I13&gt;2.5,"10. Required safety factors ",IF(Info!I13&gt;1.5,"10. Erforderliche Sicherheitsfaktoren","10. Gerekli emniyet faktörleri "))</f>
        <v>10. Gerekli emniyet faktörleri </v>
      </c>
      <c r="AF39" s="438" t="str">
        <f>IF(Info!I13&gt;2.5,"11. Application factor",IF(Info!I13&gt;1.5,"11. Anwendungsfaktor",IF(Info!I13&gt;0.5,"11. İşletme faktörü ","")))</f>
        <v>11. İşletme faktörü </v>
      </c>
    </row>
    <row r="40" s="300" customFormat="1" ht="18" customHeight="1" hidden="1">
      <c r="C40" s="450" t="str">
        <f>IF(Info!I13&gt;2.5,"Output rpm.",IF(Info!I13&gt;1.5,"Abtriebsdrehzahl ",IF(Info!I13&gt;0.5,"Çıkış devir ayısı ","")))</f>
        <v>Çıkış devir ayısı </v>
      </c>
    </row>
    <row r="41" s="300" customFormat="1" ht="18" customHeight="1" hidden="1">
      <c r="C41" s="452" t="str">
        <f>IF(Info!I13&gt;2.5,"Center distance",IF(Info!I13&gt;1.5,"Achsenabstand",IF(Info!I13&gt;0.5,"Eksenler arası mesafe","")))</f>
        <v>Eksenler arası mesafe</v>
      </c>
    </row>
    <row r="42" s="300" customFormat="1" ht="18" customHeight="1" hidden="1">
      <c r="C42" s="438" t="str">
        <f>IF(Info!I13&gt;2.5,"Center distance tolerance",IF(Info!I13&gt;1.5,"Achsenabstand.Toleranz",IF(Info!I13&gt;0.5,"Eksenler arası toleransı","")))</f>
        <v>Eksenler arası toleransı</v>
      </c>
    </row>
    <row r="43" s="300" customFormat="1" ht="18" customHeight="1" hidden="1">
      <c r="C43" s="438" t="str">
        <f>IF(Info!I13&gt;2.5,"All hardened steels",IF(Info!I13&gt;1.5,"Alle gehärtete Stähle","Bütün sertleştrilmiş çelikler"))</f>
        <v>Bütün sertleştrilmiş çelikler</v>
      </c>
    </row>
    <row r="44" s="300" customFormat="1" ht="18" customHeight="1" hidden="1">
      <c r="C44" s="355" t="str">
        <f>IF(Info!I13&gt;2.5,"General machine building",IF(Info!I13&gt;1.5,"Allgemeiner Maschinenbau",IF(Info!I13&gt;0.5,"Genel makina tahrikleri","")))</f>
        <v>Genel makina tahrikleri</v>
      </c>
    </row>
    <row r="45" s="300" customFormat="1" ht="18" customHeight="1" hidden="1">
      <c r="C45" s="355" t="str">
        <f>IF(Info!I13&gt;2.5,"Application factor",IF(Info!I13&gt;1.5,"Anwendungsfaktor",IF(Info!I13&gt;0.5,"İşletme faktörü ","")))</f>
        <v>İşletme faktörü </v>
      </c>
    </row>
    <row r="46" s="300" customFormat="1" ht="18" customHeight="1" hidden="1">
      <c r="C46" s="438" t="str">
        <f>IF(Info!I13&gt;2.5,"Selected A.M-P.  factor",IF(Info!I13&gt;1.5,"Ausgewählte Profilverschi.-fak.",IF(Info!I13&gt;0.5,"Seçilen profil kaydırması","")))</f>
        <v>Seçilen profil kaydırması</v>
      </c>
    </row>
    <row r="47" s="300" customFormat="1" ht="18" customHeight="1" hidden="1">
      <c r="C47" s="355" t="str">
        <f>IF(Info!I13&gt;2.5,"B) Pressure of flanks ",IF(Info!I13&gt;1.5,"B) Flankenpressung an den Flanken",IF(Info!I13&gt;0.5,"B) Diş yanağı form mukavemet hesabı","")))</f>
        <v>B) Diş yanağı form mukavemet hesabı</v>
      </c>
    </row>
    <row r="48" s="300" customFormat="1" ht="18" customHeight="1" hidden="1">
      <c r="C48" s="438" t="str">
        <f>IF(Info!I13&gt;2.5,"Bath nitrided",IF(Info!I13&gt;1.5,"Badnitriert","Banyoda nitratlanmış"))</f>
        <v>Banyoda nitratlanmış</v>
      </c>
    </row>
    <row r="49" spans="3:7" s="300" customFormat="1" ht="18" customHeight="1" hidden="1">
      <c r="C49" s="438" t="str">
        <f>IF(Info!I13&gt;2.5,"Structural steel",IF(Info!I13&gt;1.5,"Baustahl","İmalat çeliği"))</f>
        <v>İmalat çeliği</v>
      </c>
      <c r="D49" s="438"/>
      <c r="F49" s="438"/>
      <c r="G49" s="438"/>
    </row>
    <row r="50" spans="3:7" s="300" customFormat="1" ht="18" customHeight="1" hidden="1">
      <c r="C50" s="438" t="str">
        <f>IF(Info!I13&gt;2.5,"Remarks :",IF(Info!I13&gt;1.5,"Bemerkung :","Düşünceler :"))</f>
        <v>Düşünceler :</v>
      </c>
      <c r="D50" s="438"/>
      <c r="F50" s="438"/>
      <c r="G50" s="438"/>
    </row>
    <row r="51" spans="3:7" s="300" customFormat="1" ht="18" customHeight="1" hidden="1">
      <c r="C51" s="438" t="str">
        <f>IF(Info!I13&gt;2.5,"Pressure angle of operating",IF(Info!I13&gt;1.5,"Betriebseingriffswinkel",IF(Info!I13&gt;0.5,"İşletmede kavrama açısı","")))</f>
        <v>İşletmede kavrama açısı</v>
      </c>
      <c r="D51" s="438"/>
      <c r="G51" s="438"/>
    </row>
    <row r="52" s="300" customFormat="1" ht="18" customHeight="1" hidden="1">
      <c r="C52" s="450" t="str">
        <f>IF(Info!I13&gt;2.5,"Basic profile",IF(Info!I13&gt;1.5,"Bezugsprofil",IF(Info!I13&gt;0.5,"Referans profili ","")))</f>
        <v>Referans profili </v>
      </c>
    </row>
    <row r="53" s="300" customFormat="1" ht="18" customHeight="1" hidden="1">
      <c r="C53" s="438" t="str">
        <f>IF(Info!I13&gt;2.5,"Please, choose the basic profile.",IF(Info!I13&gt;1.5,"Bitte, wählen Sie den Bezugsprofil.",IF(Info!I13&gt;0.5,"Lütfen, Referans profilini seçiniz.","")))</f>
        <v>Lütfen, Referans profilini seçiniz.</v>
      </c>
    </row>
    <row r="54" spans="3:6" s="300" customFormat="1" ht="18" customHeight="1" hidden="1">
      <c r="C54" s="438" t="str">
        <f>IF(Info!I13&gt;2.5,"Please, choose the angle of pressure.",IF(Info!I13&gt;1.5,"Bitte, wählen Sie den Eingriffswinkel.",IF(Info!I13&gt;0.5,"Lütfen, kavrama açısının seçiniz.","")))</f>
        <v>Lütfen, kavrama açısının seçiniz.</v>
      </c>
      <c r="F54" s="355"/>
    </row>
    <row r="55" spans="3:6" s="300" customFormat="1" ht="18" customHeight="1" hidden="1">
      <c r="C55" s="355" t="str">
        <f>IF(Info!I13&gt;2.5,"Width factor",IF(Info!I13&gt;1.5,"Breitenfaktor",IF(Info!I13&gt;0.5,"Yük dağılma faktörü","")))</f>
        <v>Yük dağılma faktörü</v>
      </c>
      <c r="F55" s="355"/>
    </row>
    <row r="56" s="300" customFormat="1" ht="18" customHeight="1" hidden="1">
      <c r="C56" s="438" t="str">
        <f>IF(Info!I13&gt;2.5,"Carbo nitrided",IF(Info!I13&gt;1.5,"Carbonitriert","Karbon-nitratlanmış"))</f>
        <v>Karbon-nitratlanmış</v>
      </c>
    </row>
    <row r="57" s="300" customFormat="1" ht="18" customHeight="1" hidden="1">
      <c r="C57" s="438" t="str">
        <f>IF(Info!I13&gt;2.5,"The pinion is designated with index 1 and the wheel is designated with index 2.",IF(Info!I13&gt;1.5,"Das Ritzel ist mit Index 1 und das Rad mit Index 2 bezeichnet.",IF(Info!I13&gt;0.5,"İndeks 1 li sembol pinyona, indeks 2 li sembol dişli çarka aittir.","")))</f>
        <v>İndeks 1 li sembol pinyona, indeks 2 li sembol dişli çarka aittir.</v>
      </c>
    </row>
    <row r="58" s="300" customFormat="1" ht="18" customHeight="1" hidden="1">
      <c r="C58" s="355" t="str">
        <f>IF(Info!I13&gt;2.5,"Dynamics factor",IF(Info!I13&gt;1.5,"Dynamikfaktor",IF(Info!I13&gt;0.5,"Dinamik faktör","")))</f>
        <v>Dinamik faktör</v>
      </c>
    </row>
    <row r="59" spans="3:35" s="300" customFormat="1" ht="18" customHeight="1" hidden="1">
      <c r="C59" s="450" t="str">
        <f>IF(Info!I13&gt;2.5,"Torque of pinion shaft",IF(Info!I13&gt;1.5,"Drehmoment der Ritzelwelle",IF(Info!I13&gt;0.5,"Pinyon milindeki moment","")))</f>
        <v>Pinyon milindeki moment</v>
      </c>
      <c r="V59" s="421"/>
      <c r="Y59" s="424"/>
      <c r="Z59" s="424"/>
      <c r="AA59" s="424"/>
      <c r="AB59" s="424"/>
      <c r="AC59" s="424"/>
      <c r="AD59" s="424"/>
      <c r="AE59" s="424"/>
      <c r="AF59" s="424"/>
      <c r="AG59" s="424"/>
      <c r="AH59" s="424"/>
      <c r="AI59" s="424"/>
    </row>
    <row r="60" spans="3:35" s="300" customFormat="1" ht="18" customHeight="1" hidden="1">
      <c r="C60" s="355" t="str">
        <f>IF(Info!I13&gt;2.5,"Pairs of scissors, traversing gears",IF(Info!I13&gt;1.5,"dsgl. reversierend, Scheren, Fahrw.",IF(Info!I13&gt;0.5,"Makas tahrikleri, Yürüyüş tahrikleri","")))</f>
        <v>Makas tahrikleri, Yürüyüş tahrikleri</v>
      </c>
      <c r="V60" s="421"/>
      <c r="Y60" s="424"/>
      <c r="Z60" s="424"/>
      <c r="AA60" s="424"/>
      <c r="AB60" s="424"/>
      <c r="AC60" s="424"/>
      <c r="AD60" s="424"/>
      <c r="AE60" s="424"/>
      <c r="AF60" s="424"/>
      <c r="AG60" s="424"/>
      <c r="AH60" s="424"/>
      <c r="AI60" s="424"/>
    </row>
    <row r="61" spans="3:35" s="300" customFormat="1" ht="18" customHeight="1" hidden="1">
      <c r="C61" s="355" t="str">
        <f>IF(Info!I13&gt;2.5,"Elastic factor",IF(Info!I13&gt;1.5,"Elastizitätsfaktor",IF(Info!I13&gt;0.5,"Elastikiyet faktörü ","")))</f>
        <v>Elastikiyet faktörü </v>
      </c>
      <c r="V61" s="421"/>
      <c r="Y61" s="424"/>
      <c r="Z61" s="424"/>
      <c r="AA61" s="424"/>
      <c r="AB61" s="424"/>
      <c r="AC61" s="424"/>
      <c r="AD61" s="424"/>
      <c r="AE61" s="424"/>
      <c r="AF61" s="424"/>
      <c r="AG61" s="424"/>
      <c r="AH61" s="424"/>
      <c r="AI61" s="424"/>
    </row>
    <row r="62" spans="3:35" s="300" customFormat="1" ht="18" customHeight="1" hidden="1">
      <c r="C62" s="453" t="str">
        <f>IF(Info!I13&gt;2.5,"Young's modulus",IF(Info!I13&gt;1.5,"Elastizitätsmodul",IF(Info!I13&gt;0.5,"Elastiklik modülü","")))</f>
        <v>Elastiklik modülü</v>
      </c>
      <c r="H62" s="357"/>
      <c r="I62" s="357"/>
      <c r="V62" s="421"/>
      <c r="Y62" s="424"/>
      <c r="Z62" s="424"/>
      <c r="AA62" s="424"/>
      <c r="AB62" s="424"/>
      <c r="AC62" s="424"/>
      <c r="AD62" s="424"/>
      <c r="AE62" s="424"/>
      <c r="AF62" s="424"/>
      <c r="AG62" s="424"/>
      <c r="AH62" s="424"/>
      <c r="AI62" s="424"/>
    </row>
    <row r="63" spans="3:35" s="300" customFormat="1" ht="18" customHeight="1" hidden="1">
      <c r="C63" s="450" t="str">
        <f>IF(Info!I13&gt;2.5,"Driving rpm ",IF(Info!I13&gt;1.5,"Eingangsdrehzahl   ",IF(Info!I13&gt;0.5,"Giriş devir sayısı ","")))</f>
        <v>Giriş devir sayısı </v>
      </c>
      <c r="H63" s="357"/>
      <c r="I63" s="357"/>
      <c r="V63" s="421"/>
      <c r="Y63" s="425"/>
      <c r="Z63" s="425"/>
      <c r="AA63" s="425"/>
      <c r="AB63" s="425"/>
      <c r="AC63" s="425"/>
      <c r="AD63" s="425"/>
      <c r="AE63" s="425"/>
      <c r="AF63" s="425"/>
      <c r="AG63" s="425"/>
      <c r="AH63" s="425"/>
      <c r="AI63" s="425"/>
    </row>
    <row r="64" spans="3:35" s="300" customFormat="1" ht="18" customHeight="1" hidden="1">
      <c r="C64" s="450" t="str">
        <f>IF(Info!I13&gt;2.5,"Angle of pressure",IF(Info!I13&gt;1.5,"Eingriffswinkel",IF(Info!I13&gt;0.5,"Kavrama açısı","")))</f>
        <v>Kavrama açısı</v>
      </c>
      <c r="H64" s="357"/>
      <c r="I64" s="357"/>
      <c r="V64" s="421"/>
      <c r="Y64" s="357"/>
      <c r="Z64" s="357"/>
      <c r="AA64" s="357"/>
      <c r="AB64" s="357"/>
      <c r="AC64" s="357"/>
      <c r="AD64" s="357"/>
      <c r="AE64" s="357"/>
      <c r="AF64" s="357"/>
      <c r="AG64" s="357"/>
      <c r="AH64" s="357"/>
      <c r="AI64" s="357"/>
    </row>
    <row r="65" spans="3:35" s="300" customFormat="1" ht="18" customHeight="1" hidden="1">
      <c r="C65" s="438" t="str">
        <f>IF(Info!I13&gt;2.5,"Case-hardened",IF(Info!I13&gt;1.5,"Einsatzgehärtet","Semente edilmiş"))</f>
        <v>Semente edilmiş</v>
      </c>
      <c r="H65" s="357"/>
      <c r="I65" s="357"/>
      <c r="V65" s="421"/>
      <c r="Y65" s="357"/>
      <c r="Z65" s="357"/>
      <c r="AA65" s="357"/>
      <c r="AB65" s="357"/>
      <c r="AC65" s="357"/>
      <c r="AD65" s="357"/>
      <c r="AE65" s="357"/>
      <c r="AF65" s="357"/>
      <c r="AG65" s="357"/>
      <c r="AH65" s="357"/>
      <c r="AI65" s="357"/>
    </row>
    <row r="66" spans="3:35" s="300" customFormat="1" ht="18" customHeight="1" hidden="1">
      <c r="C66" s="438" t="str">
        <f>IF(Info!I13&gt;2.5,"Field of use",IF(Info!$I$13&gt;1.5,"Einsatzort",IF(Info!$I$13&gt;0.5,"Kullanıldığı yer","")))</f>
        <v>Kullanıldığı yer</v>
      </c>
      <c r="H66" s="357"/>
      <c r="I66" s="357"/>
      <c r="V66" s="421"/>
      <c r="Y66" s="357"/>
      <c r="Z66" s="357"/>
      <c r="AA66" s="357"/>
      <c r="AB66" s="357"/>
      <c r="AC66" s="357"/>
      <c r="AD66" s="357"/>
      <c r="AE66" s="357"/>
      <c r="AF66" s="357"/>
      <c r="AG66" s="357"/>
      <c r="AH66" s="357"/>
      <c r="AI66" s="357"/>
    </row>
    <row r="67" spans="3:22" s="300" customFormat="1" ht="18" customHeight="1" hidden="1">
      <c r="C67" s="453" t="str">
        <f>IF(Info!I13&gt;2.5,"Required safety factor",IF(Info!I13&gt;1.5,"Erforderlicher Sicherheitsfaktor",IF(Info!I13&gt;0.5,"Gerekli Emniyet faktörü","")))</f>
        <v>Gerekli Emniyet faktörü</v>
      </c>
      <c r="V67" s="421"/>
    </row>
    <row r="68" spans="3:22" s="300" customFormat="1" ht="18" customHeight="1" hidden="1">
      <c r="C68" s="438" t="str">
        <f>IF(Info!I13&gt;2.5,"Involute function",IF(Info!I13&gt;1.5,"Evolventenfunktion",IF(Info!I13&gt;0.5,"Evolvent fonksiyonu","")))</f>
        <v>Evolvent fonksiyonu</v>
      </c>
      <c r="V68" s="421"/>
    </row>
    <row r="69" spans="3:22" s="300" customFormat="1" ht="18" customHeight="1" hidden="1">
      <c r="C69" s="438" t="str">
        <f>IF(Info!I13&gt;2.5,"Flame or induction hardened",IF(Info!I13&gt;1.5,"Flamm- oder Induktionsgehärtet","Alev veya Endüksiyon sertleştirilmiş"))</f>
        <v>Alev veya Endüksiyon sertleştirilmiş</v>
      </c>
      <c r="V69" s="421"/>
    </row>
    <row r="70" spans="3:22" s="300" customFormat="1" ht="18" customHeight="1" hidden="1">
      <c r="C70" s="453" t="str">
        <f>IF(Info!I13&gt;2.5,"Flank roughness",IF(Info!I13&gt;1.5,"Flankenrauigkeit",IF(Info!I13&gt;0.5,"Dişli yanak kalitesi","")))</f>
        <v>Dişli yanak kalitesi</v>
      </c>
      <c r="V70" s="421"/>
    </row>
    <row r="71" spans="3:22" s="300" customFormat="1" ht="18" customHeight="1" hidden="1">
      <c r="C71" s="355" t="str">
        <f>IF(Info!I13&gt;2.5,"Foot reference stress",IF(Info!I13&gt;1.5,"Fussvergleichsspannung",IF(Info!I13&gt;0.5,"Diş dibi karşılaştırma mukavemeti","")))</f>
        <v>Diş dibi karşılaştırma mukavemeti</v>
      </c>
      <c r="V71" s="421"/>
    </row>
    <row r="72" spans="3:22" s="300" customFormat="1" ht="18" customHeight="1" hidden="1">
      <c r="C72" s="450" t="str">
        <f>IF(Info!I13&gt;2.5,"Direction of spiral",IF(Info!I13&gt;1.5,"Gangrichtung",IF(Info!I13&gt;0.5,"Helis yönü","")))</f>
        <v>Helis yönü</v>
      </c>
      <c r="V72" s="421"/>
    </row>
    <row r="73" spans="3:22" s="300" customFormat="1" ht="18" customHeight="1" hidden="1">
      <c r="C73" s="438" t="str">
        <f>IF(Info!I13&gt;2.5,"Geometry",IF(Info!I13&gt;1.5,"Geometrie",IF(Info!I13&gt;0.5,"Geometri","")))</f>
        <v>Geometri</v>
      </c>
      <c r="V73" s="421"/>
    </row>
    <row r="74" spans="3:22" s="300" customFormat="1" ht="18" customHeight="1" hidden="1">
      <c r="C74" s="355" t="str">
        <f>IF(Info!I13&gt;2.5,"Rate factor",IF(Info!I13&gt;1.5,"Geschwindigkeitsfaktor",IF(Info!I13&gt;0.5,"Hız faktörü","")))</f>
        <v>Hız faktörü</v>
      </c>
      <c r="V74" s="421"/>
    </row>
    <row r="75" spans="3:22" s="300" customFormat="1" ht="18" customHeight="1" hidden="1">
      <c r="C75" s="355" t="str">
        <f>IF(Info!I13&gt;2.5,"Stregth depending for flanks",IF(Info!I13&gt;1.5,"Gestaltfestigkeit für Flanken",IF(Info!I13&gt;0.5,"Diş yanağı form mukavemeti","")))</f>
        <v>Diş yanağı form mukavemeti</v>
      </c>
      <c r="V75" s="421"/>
    </row>
    <row r="76" spans="3:22" s="300" customFormat="1" ht="18" customHeight="1" hidden="1">
      <c r="C76" s="355" t="str">
        <f>IF(Info!I13&gt;2.5,"Strength depending on shape root of teeth",IF(Info!I13&gt;1.5,"Gestaltfestigkeit am Zahnfuss",IF(Info!I13&gt;0.5,"Diş dibi form mukavemeti","")))</f>
        <v>Diş dibi form mukavemeti</v>
      </c>
      <c r="V76" s="421"/>
    </row>
    <row r="77" spans="3:22" s="300" customFormat="1" ht="18" customHeight="1" hidden="1">
      <c r="C77" s="355" t="str">
        <f>IF(Info!I13&gt;2.5,"Size factor",IF(Info!I13&gt;1.5,"Grössenfaktor",IF(Info!I13&gt;0.5,"Büyüklük faktörü","")))</f>
        <v>Büyüklük faktörü</v>
      </c>
      <c r="V77" s="421"/>
    </row>
    <row r="78" spans="3:22" s="300" customFormat="1" ht="18" customHeight="1" hidden="1">
      <c r="C78" s="438" t="str">
        <f>IF(Info!I13&gt;2.5,"Base items",IF(Info!I13&gt;1.5,"Grundgrössen",IF(Info!I13&gt;0.5,"Temel değerler","")))</f>
        <v>Temel değerler</v>
      </c>
      <c r="V78" s="421"/>
    </row>
    <row r="79" spans="3:22" s="300" customFormat="1" ht="18" customHeight="1" hidden="1">
      <c r="C79" s="438" t="str">
        <f>IF(Info!I13&gt;2.5,"Base circle diameter",IF(Info!I13&gt;1.5,"Grundkreisdurchmesser",IF(Info!I13&gt;0.5,"Temel daire çapı","")))</f>
        <v>Temel daire çapı</v>
      </c>
      <c r="V79" s="421"/>
    </row>
    <row r="80" spans="3:22" s="300" customFormat="1" ht="18" customHeight="1" hidden="1">
      <c r="C80" s="438" t="str">
        <f>IF(Info!I13&gt;2.5,"Base helix angle",IF(Info!I13&gt;1.5,"Grundschrägungswinkel",IF(Info!I13&gt;0.5,"Temel helis açısı","")))</f>
        <v>Temel helis açısı</v>
      </c>
      <c r="V80" s="421"/>
    </row>
    <row r="81" spans="3:22" s="300" customFormat="1" ht="18" customHeight="1" hidden="1">
      <c r="C81" s="453" t="str">
        <f>IF(Info!I13&gt;2.5,"Hardness",IF(Info!I13&gt;1.5,"Härte",IF(Info!I13&gt;0.5,"Sertlik","")))</f>
        <v>Sertlik</v>
      </c>
      <c r="V81" s="421"/>
    </row>
    <row r="82" spans="3:22" s="300" customFormat="1" ht="18" customHeight="1" hidden="1">
      <c r="C82" s="355" t="str">
        <f>IF(Info!I13&gt;2.5,"Hertz flank pressure",IF(Info!I13&gt;1.5,"Hertz'sche Flankenpressung ",IF(Info!I13&gt;0.5,"Yanaklarda Hertz basıncı","")))</f>
        <v>Yanaklarda Hertz basıncı</v>
      </c>
      <c r="V82" s="421"/>
    </row>
    <row r="83" spans="3:22" s="300" customFormat="1" ht="18" customHeight="1" hidden="1">
      <c r="C83" s="438" t="str">
        <f>IF(Info!I13&gt;2.5,"Induction hardened with foot",IF(Info!I13&gt;1.5,"Induktions gehärtet  mit Fuss","Alev veya Endüksiyonla diş dibi dahil sertleştirilmiş"))</f>
        <v>Alev veya Endüksiyonla diş dibi dahil sertleştirilmiş</v>
      </c>
      <c r="V83" s="421"/>
    </row>
    <row r="84" spans="3:22" s="300" customFormat="1" ht="18" customHeight="1" hidden="1">
      <c r="C84" s="355" t="str">
        <f>IF(Info!I13&gt;2.5,"Tip factor",IF(Info!I13&gt;1.5,"Kopffaktor",IF(Info!I13&gt;0.5,"Dişüstü faktörü","")))</f>
        <v>Dişüstü faktörü</v>
      </c>
      <c r="V84" s="421"/>
    </row>
    <row r="85" spans="3:22" s="300" customFormat="1" ht="18" customHeight="1" hidden="1">
      <c r="C85" s="438" t="str">
        <f>IF(Info!I13&gt;2.5,"Addendum diameter",IF(Info!I13&gt;1.5,"Kopfkreisdurchmesser",IF(Info!I13&gt;0.5,"Diş üstü çapı","")))</f>
        <v>Diş üstü çapı</v>
      </c>
      <c r="V85" s="421"/>
    </row>
    <row r="86" spans="3:22" s="300" customFormat="1" ht="18" customHeight="1" hidden="1">
      <c r="C86" s="438" t="str">
        <f>IF(Info!I13&gt;2.5,"Tip cut",IF(Info!I13&gt;1.5,"Kopfkürzung",IF(Info!I13&gt;0.5,"Dış çap düzeltmesi","")))</f>
        <v>Dış çap düzeltmesi</v>
      </c>
      <c r="V86" s="421"/>
    </row>
    <row r="87" spans="3:22" s="300" customFormat="1" ht="18" customHeight="1" hidden="1">
      <c r="C87" s="355" t="str">
        <f>IF(Info!I13&gt;2.5,"Motor vehicles",IF(Info!I13&gt;1.5,"Kraftfahrzeuge",IF(Info!I13&gt;0.5,"Kamyon ve İş makinaları","")))</f>
        <v>Kamyon ve İş makinaları</v>
      </c>
      <c r="V87" s="421"/>
    </row>
    <row r="88" spans="3:22" s="300" customFormat="1" ht="18" customHeight="1" hidden="1">
      <c r="C88" s="355" t="str">
        <f>IF(Info!I13&gt;2.5,"Epoxy machines",IF(Info!I13&gt;1.5,"Kunststoffmaschinen, Lok-Antriebe",IF(Info!I13&gt;0.5,"Plastik makinaları, Lokomotif tahriki","")))</f>
        <v>Plastik makinaları, Lokomotif tahriki</v>
      </c>
      <c r="V88" s="421"/>
    </row>
    <row r="89" spans="3:22" s="300" customFormat="1" ht="18" customHeight="1" hidden="1">
      <c r="C89" s="355" t="str">
        <f>IF(Info!I13&gt;2.5,"Agricultural machinery",IF(Info!I13&gt;1.5,"Landmaschinen",IF(Info!I13&gt;0.5,"Arazi ve Ziraat makinaları","")))</f>
        <v>Arazi ve Ziraat makinaları</v>
      </c>
      <c r="V89" s="421"/>
    </row>
    <row r="90" spans="3:22" s="300" customFormat="1" ht="18" customHeight="1" hidden="1">
      <c r="C90" s="438" t="str">
        <f>IF(Info!I13&gt;2.5,"Long-time gas nitrided",IF(Info!I13&gt;1.5,"Langzeit-gasnitriert","Uzun zaman gas nitratlanmış"))</f>
        <v>Uzun zaman gas nitratlanmış</v>
      </c>
      <c r="V90" s="421"/>
    </row>
    <row r="91" spans="3:35" s="300" customFormat="1" ht="18" customHeight="1" hidden="1">
      <c r="C91" s="445" t="str">
        <f>IF(Info!I13&gt;2.5,"Load cycle number",IF(Info!I13&gt;1.5,"Lastspielzahl",IF(Info!I13&gt;0.5,"Yükleme sayısı","")))</f>
        <v>Yükleme sayısı</v>
      </c>
      <c r="V91" s="421"/>
      <c r="Y91" s="424"/>
      <c r="Z91" s="424"/>
      <c r="AA91" s="424"/>
      <c r="AB91" s="424"/>
      <c r="AC91" s="424"/>
      <c r="AD91" s="424"/>
      <c r="AE91" s="424"/>
      <c r="AF91" s="424"/>
      <c r="AG91" s="424"/>
      <c r="AH91" s="424"/>
      <c r="AI91" s="424"/>
    </row>
    <row r="92" spans="3:35" s="300" customFormat="1" ht="18" customHeight="1" hidden="1">
      <c r="C92" s="355" t="str">
        <f>IF(Info!I13&gt;2.5,"Life time factor",IF(Info!I13&gt;1.5,"Lebensdauerfaktor",IF(Info!I13&gt;0.5,"Dayanma süresi faktörü ","")))</f>
        <v>Dayanma süresi faktörü </v>
      </c>
      <c r="V92" s="421"/>
      <c r="Y92" s="424"/>
      <c r="Z92" s="424"/>
      <c r="AA92" s="424"/>
      <c r="AB92" s="424"/>
      <c r="AC92" s="424"/>
      <c r="AD92" s="424"/>
      <c r="AE92" s="424"/>
      <c r="AF92" s="424"/>
      <c r="AG92" s="424"/>
      <c r="AH92" s="424"/>
      <c r="AI92" s="424"/>
    </row>
    <row r="93" spans="3:35" s="300" customFormat="1" ht="18" customHeight="1" hidden="1">
      <c r="C93" s="438" t="str">
        <f>IF(Info!I13&gt;2.5,"Number of measuring teeth",IF(Info!I13&gt;1.5,"Messzähnezahl",IF(Info!I13&gt;0.5,"Ölçülecek diş sayısı","")))</f>
        <v>Ölçülecek diş sayısı</v>
      </c>
      <c r="V93" s="421"/>
      <c r="Y93" s="424"/>
      <c r="Z93" s="424"/>
      <c r="AA93" s="424"/>
      <c r="AB93" s="424"/>
      <c r="AC93" s="424"/>
      <c r="AD93" s="424"/>
      <c r="AE93" s="424"/>
      <c r="AF93" s="424"/>
      <c r="AG93" s="424"/>
      <c r="AH93" s="424"/>
      <c r="AI93" s="424"/>
    </row>
    <row r="94" spans="3:35" s="300" customFormat="1" ht="18" customHeight="1" hidden="1">
      <c r="C94" s="419" t="str">
        <f>IF(Info!I13&gt;2.5,"Module",IF(Info!I13&gt;1.5,"Modul",IF(Info!I13&gt;0.5,"Modül","")))</f>
        <v>Modül</v>
      </c>
      <c r="V94" s="421"/>
      <c r="Y94" s="424"/>
      <c r="Z94" s="424"/>
      <c r="AA94" s="424"/>
      <c r="AB94" s="424"/>
      <c r="AC94" s="424"/>
      <c r="AD94" s="424"/>
      <c r="AE94" s="424"/>
      <c r="AF94" s="424"/>
      <c r="AG94" s="424"/>
      <c r="AH94" s="424"/>
      <c r="AI94" s="424"/>
    </row>
    <row r="95" spans="3:35" s="300" customFormat="1" ht="18" customHeight="1" hidden="1">
      <c r="C95" s="438" t="str">
        <f>IF(Info!I13&gt;2.5,"Zero center distance",IF(Info!I13&gt;1.5,"Null-Achsenabstand",IF(Info!I13&gt;0.5,"Kaydırmasız eksenler arası","")))</f>
        <v>Kaydırmasız eksenler arası</v>
      </c>
      <c r="V95" s="421"/>
      <c r="Y95" s="424"/>
      <c r="Z95" s="424"/>
      <c r="AA95" s="424"/>
      <c r="AB95" s="424"/>
      <c r="AC95" s="424"/>
      <c r="AD95" s="424"/>
      <c r="AE95" s="424"/>
      <c r="AF95" s="424"/>
      <c r="AG95" s="424"/>
      <c r="AH95" s="424"/>
      <c r="AI95" s="424"/>
    </row>
    <row r="96" spans="3:35" s="300" customFormat="1" ht="18" customHeight="1" hidden="1">
      <c r="C96" s="438" t="str">
        <f>IF(Info!I13&gt;2.5,"Upper fabrication dimension",IF(Info!I13&gt;1.5,"Oberes Werkstattmass",IF(Info!I13&gt;0.5,"Üst ölçü değeri","")))</f>
        <v>Üst ölçü değeri</v>
      </c>
      <c r="V96" s="421"/>
      <c r="Y96" s="424"/>
      <c r="Z96" s="424"/>
      <c r="AA96" s="424"/>
      <c r="AB96" s="424"/>
      <c r="AC96" s="424"/>
      <c r="AD96" s="424"/>
      <c r="AE96" s="424"/>
      <c r="AF96" s="424"/>
      <c r="AG96" s="424"/>
      <c r="AH96" s="424"/>
      <c r="AI96" s="424"/>
    </row>
    <row r="97" spans="3:35" s="300" customFormat="1" ht="18" customHeight="1" hidden="1">
      <c r="C97" s="355" t="str">
        <f>IF(Info!I13&gt;2.5,"Upper teething fat person limit Asne in µ m according to DIN 3967 (excerpt)",IF(Info!I13&gt;1.5,"Obere Zahndickenabmass  Asne in µm nach DIN 3967 (Auszug)",IF(Info!I13&gt;0.5,"Dişkalınlığı üst tolerans mesafesi Asne [µm] DIN 3967 ye göre","")))</f>
        <v>Dişkalınlığı üst tolerans mesafesi Asne [µm] DIN 3967 ye göre</v>
      </c>
      <c r="V97" s="421"/>
      <c r="Y97" s="424"/>
      <c r="Z97" s="424"/>
      <c r="AA97" s="424"/>
      <c r="AB97" s="424"/>
      <c r="AC97" s="424"/>
      <c r="AD97" s="424"/>
      <c r="AE97" s="424"/>
      <c r="AF97" s="424"/>
      <c r="AG97" s="424"/>
      <c r="AH97" s="424"/>
      <c r="AI97" s="424"/>
    </row>
    <row r="98" spans="3:35" s="300" customFormat="1" ht="18" customHeight="1" hidden="1">
      <c r="C98" s="355" t="str">
        <f>IF(Info!I13&gt;2.5,"Local Hertz pressure",IF(Info!I13&gt;1.5,"Örtliche Hertz'sche Pressung",IF(Info!I13&gt;0.5,"Yerel Hertz basıncı","")))</f>
        <v>Yerel Hertz basıncı</v>
      </c>
      <c r="V98" s="421"/>
      <c r="Y98" s="424"/>
      <c r="Z98" s="424"/>
      <c r="AA98" s="424"/>
      <c r="AB98" s="424"/>
      <c r="AC98" s="424"/>
      <c r="AD98" s="424"/>
      <c r="AE98" s="424"/>
      <c r="AF98" s="424"/>
      <c r="AG98" s="424"/>
      <c r="AH98" s="424"/>
      <c r="AI98" s="424"/>
    </row>
    <row r="99" spans="3:35" s="300" customFormat="1" ht="18" customHeight="1" hidden="1">
      <c r="C99" s="355" t="str">
        <f>IF(Info!I13&gt;2.5,"Local foot stress",IF(Info!I13&gt;1.5,"Örtliche-Fussspannung",IF(Info!I13&gt;0.5,"Kısmi diş dibi gerilimi","")))</f>
        <v>Kısmi diş dibi gerilimi</v>
      </c>
      <c r="V99" s="421"/>
      <c r="Y99" s="424"/>
      <c r="Z99" s="424"/>
      <c r="AA99" s="424"/>
      <c r="AB99" s="424"/>
      <c r="AC99" s="424"/>
      <c r="AD99" s="424"/>
      <c r="AE99" s="424"/>
      <c r="AF99" s="424"/>
      <c r="AG99" s="424"/>
      <c r="AH99" s="424"/>
      <c r="AI99" s="424"/>
    </row>
    <row r="100" spans="3:35" s="300" customFormat="1" ht="18" customHeight="1" hidden="1">
      <c r="C100" s="453" t="str">
        <f>IF(Info!I13&gt;2.5,"Poisson's modulus",IF(Info!I13&gt;1.5,"Poissonzahl",IF(Info!I13&gt;0.5,"Poisson sayısı","")))</f>
        <v>Poisson sayısı</v>
      </c>
      <c r="Y100" s="424"/>
      <c r="Z100" s="424"/>
      <c r="AA100" s="424"/>
      <c r="AB100" s="424"/>
      <c r="AC100" s="424"/>
      <c r="AD100" s="424"/>
      <c r="AE100" s="424"/>
      <c r="AF100" s="424"/>
      <c r="AG100" s="424"/>
      <c r="AH100" s="424"/>
      <c r="AI100" s="424"/>
    </row>
    <row r="101" spans="3:35" s="300" customFormat="1" ht="18" customHeight="1" hidden="1">
      <c r="C101" s="438" t="str">
        <f>IF(Info!I13&gt;2.5,"Transverse contact ratio",IF(Info!I13&gt;1.5,"Profilüberdeckung",IF(Info!I13&gt;0.5,"Profil kavrama oranı","")))</f>
        <v>Profil kavrama oranı</v>
      </c>
      <c r="Y101" s="424"/>
      <c r="Z101" s="424"/>
      <c r="AA101" s="424"/>
      <c r="AB101" s="424"/>
      <c r="AC101" s="424"/>
      <c r="AD101" s="424"/>
      <c r="AE101" s="424"/>
      <c r="AF101" s="424"/>
      <c r="AG101" s="424"/>
      <c r="AH101" s="424"/>
      <c r="AI101" s="424"/>
    </row>
    <row r="102" spans="3:35" s="300" customFormat="1" ht="18" customHeight="1" hidden="1">
      <c r="C102" s="438" t="str">
        <f>IF(Info!I13&gt;2.5,"Addendum Modification-Proposal",IF(Info!I13&gt;1.5,"Profilverschi.-Vorschlag",IF(Info!I13&gt;0.5,"Profil kaydırması, teklif","")))</f>
        <v>Profil kaydırması, teklif</v>
      </c>
      <c r="Y102" s="424"/>
      <c r="Z102" s="424"/>
      <c r="AA102" s="424"/>
      <c r="AB102" s="424"/>
      <c r="AC102" s="424"/>
      <c r="AD102" s="424"/>
      <c r="AE102" s="424"/>
      <c r="AF102" s="424"/>
      <c r="AG102" s="424"/>
      <c r="AH102" s="424"/>
      <c r="AI102" s="424"/>
    </row>
    <row r="103" spans="3:35" s="300" customFormat="1" ht="18" customHeight="1" hidden="1">
      <c r="C103" s="438" t="str">
        <f>IF(Info!I13&gt;2.5,"Sum addendum modification",IF(Info!I13&gt;1.5,"Profilverschiebungssumme",IF(Info!I13&gt;0.5,"Toplam profil kaydırması","")))</f>
        <v>Toplam profil kaydırması</v>
      </c>
      <c r="Y103" s="424"/>
      <c r="Z103" s="424"/>
      <c r="AA103" s="424"/>
      <c r="AB103" s="424"/>
      <c r="AC103" s="424"/>
      <c r="AD103" s="424"/>
      <c r="AE103" s="424"/>
      <c r="AF103" s="424"/>
      <c r="AG103" s="424"/>
      <c r="AH103" s="424"/>
      <c r="AI103" s="424"/>
    </row>
    <row r="104" spans="3:35" s="300" customFormat="1" ht="18" customHeight="1" hidden="1">
      <c r="C104" s="438" t="str">
        <f>IF(Info!I13&gt;2.5,"Project:",IF(Info!I13&gt;1.5,"Projekt :",IF(Info!I13&gt;0.5,"Proje :","")))</f>
        <v>Proje :</v>
      </c>
      <c r="Y104" s="424"/>
      <c r="Z104" s="424"/>
      <c r="AA104" s="424"/>
      <c r="AB104" s="424"/>
      <c r="AC104" s="424"/>
      <c r="AD104" s="424"/>
      <c r="AE104" s="424"/>
      <c r="AF104" s="424"/>
      <c r="AG104" s="424"/>
      <c r="AH104" s="424"/>
      <c r="AI104" s="424"/>
    </row>
    <row r="105" spans="3:35" s="300" customFormat="1" ht="18" customHeight="1" hidden="1">
      <c r="C105" s="438" t="str">
        <f>IF(Info!I13&gt;2.5,"Wheel",IF(Info!I13&gt;1.5,"Rad",IF(Info!I13&gt;0.5,"Çark","")))</f>
        <v>Çark</v>
      </c>
      <c r="Y105" s="424"/>
      <c r="Z105" s="424"/>
      <c r="AA105" s="424"/>
      <c r="AB105" s="424"/>
      <c r="AC105" s="424"/>
      <c r="AD105" s="424"/>
      <c r="AE105" s="424"/>
      <c r="AF105" s="424"/>
      <c r="AG105" s="424"/>
      <c r="AH105" s="424"/>
      <c r="AI105" s="424"/>
    </row>
    <row r="106" spans="3:35" s="300" customFormat="1" ht="18" customHeight="1" hidden="1">
      <c r="C106" s="355" t="str">
        <f>IF(Info!I13&gt;2.5,"Roughness factor",IF(Info!I13&gt;1.5,"Rauigkeitsfaktor",IF(Info!I13&gt;0.5,"Kalite faktörü","")))</f>
        <v>Kalite faktörü</v>
      </c>
      <c r="Y106" s="424"/>
      <c r="Z106" s="424"/>
      <c r="AA106" s="424"/>
      <c r="AB106" s="424"/>
      <c r="AC106" s="424"/>
      <c r="AD106" s="424"/>
      <c r="AE106" s="424"/>
      <c r="AF106" s="424"/>
      <c r="AG106" s="424"/>
      <c r="AH106" s="424"/>
      <c r="AI106" s="424"/>
    </row>
    <row r="107" spans="3:35" s="300" customFormat="1" ht="18" customHeight="1" hidden="1">
      <c r="C107" s="355" t="str">
        <f>IF(Info!I13&gt;2.5,"Relative surface factor",IF(Info!I13&gt;1.5,"Relative Oberflächenfaktor",IF(Info!I13&gt;0.5,"Göreceli yüzey faktörü","")))</f>
        <v>Göreceli yüzey faktörü</v>
      </c>
      <c r="Y107" s="424"/>
      <c r="Z107" s="424"/>
      <c r="AA107" s="424"/>
      <c r="AB107" s="424"/>
      <c r="AC107" s="424"/>
      <c r="AD107" s="424"/>
      <c r="AE107" s="424"/>
      <c r="AF107" s="424"/>
      <c r="AG107" s="424"/>
      <c r="AH107" s="424"/>
      <c r="AI107" s="424"/>
    </row>
    <row r="108" spans="3:35" s="300" customFormat="1" ht="18" customHeight="1" hidden="1">
      <c r="C108" s="355" t="str">
        <f>IF(Info!I13&gt;2.5,"Relative supporting digit",IF(Info!I13&gt;1.5,"Relative Stützziffer",IF(Info!I13&gt;0.5,"Göreceli dayanışma faktörü","")))</f>
        <v>Göreceli dayanışma faktörü</v>
      </c>
      <c r="Y108" s="424"/>
      <c r="Z108" s="424"/>
      <c r="AA108" s="424"/>
      <c r="AB108" s="424"/>
      <c r="AC108" s="424"/>
      <c r="AD108" s="424"/>
      <c r="AE108" s="424"/>
      <c r="AF108" s="424"/>
      <c r="AG108" s="424"/>
      <c r="AH108" s="424"/>
      <c r="AI108" s="424"/>
    </row>
    <row r="109" spans="3:35" s="300" customFormat="1" ht="18" customHeight="1" hidden="1">
      <c r="C109" s="425" t="str">
        <f>IF(Info!I13&gt;2.5,"Pinion",IF(Info!I13&gt;1.5,"Ritzel",IF(Info!I13&gt;0.5,"Pinyon","")))</f>
        <v>Pinyon</v>
      </c>
      <c r="Y109" s="424"/>
      <c r="Z109" s="424"/>
      <c r="AA109" s="424"/>
      <c r="AB109" s="424"/>
      <c r="AC109" s="424"/>
      <c r="AD109" s="424"/>
      <c r="AE109" s="424"/>
      <c r="AF109" s="424"/>
      <c r="AG109" s="424"/>
      <c r="AH109" s="424"/>
      <c r="AI109" s="424"/>
    </row>
    <row r="110" spans="3:35" s="300" customFormat="1" ht="18" customHeight="1" hidden="1">
      <c r="C110" s="355" t="str">
        <f>IF(Info!I13&gt;2.5,"Lubricant factor",IF(Info!I13&gt;1.5,"Schmierstoffaktor",IF(Info!I13&gt;0.5,"Yağlama faktörü","")))</f>
        <v>Yağlama faktörü</v>
      </c>
      <c r="Y110" s="424"/>
      <c r="Z110" s="424"/>
      <c r="AA110" s="424"/>
      <c r="AB110" s="424"/>
      <c r="AC110" s="424"/>
      <c r="AD110" s="424"/>
      <c r="AE110" s="424"/>
      <c r="AF110" s="424"/>
      <c r="AG110" s="424"/>
      <c r="AH110" s="424"/>
      <c r="AI110" s="424"/>
    </row>
    <row r="111" spans="3:35" s="300" customFormat="1" ht="18" customHeight="1" hidden="1">
      <c r="C111" s="450" t="str">
        <f>IF(Info!I13&gt;2.5,"Lubricating oil-Viscosity",IF(Info!I13&gt;1.5,"Schmieroel-Viskosität",IF(Info!I13&gt;0.5,"Yağ ve Viskositesi","")))</f>
        <v>Yağ ve Viskositesi</v>
      </c>
      <c r="Y111" s="424"/>
      <c r="Z111" s="424"/>
      <c r="AA111" s="424"/>
      <c r="AB111" s="424"/>
      <c r="AC111" s="424"/>
      <c r="AD111" s="424"/>
      <c r="AE111" s="424"/>
      <c r="AF111" s="424"/>
      <c r="AG111" s="424"/>
      <c r="AH111" s="424"/>
      <c r="AI111" s="424"/>
    </row>
    <row r="112" spans="3:35" s="300" customFormat="1" ht="18" customHeight="1" hidden="1">
      <c r="C112" s="355" t="str">
        <f>IF(Info!I13&gt;2.5,"Helix factor",IF(Info!I13&gt;1.5,"Schrägenfaktor",IF(Info!I13&gt;0.5,"Helis faktörü ","")))</f>
        <v>Helis faktörü </v>
      </c>
      <c r="Y112" s="424"/>
      <c r="Z112" s="424"/>
      <c r="AA112" s="424"/>
      <c r="AB112" s="424"/>
      <c r="AC112" s="424"/>
      <c r="AD112" s="424"/>
      <c r="AE112" s="424"/>
      <c r="AF112" s="424"/>
      <c r="AG112" s="424"/>
      <c r="AH112" s="424"/>
      <c r="AI112" s="424"/>
    </row>
    <row r="113" spans="3:35" s="300" customFormat="1" ht="18" customHeight="1" hidden="1">
      <c r="C113" s="450" t="str">
        <f>IF(Info!I13&gt;2.5,"Helix angle",IF(Info!I13&gt;1.5,"Schrägungswinkel",IF(Info!I13&gt;0.5,"Helis açısı","")))</f>
        <v>Helis açısı</v>
      </c>
      <c r="Y113" s="425"/>
      <c r="Z113" s="425"/>
      <c r="AA113" s="425"/>
      <c r="AB113" s="425"/>
      <c r="AC113" s="425"/>
      <c r="AD113" s="425"/>
      <c r="AE113" s="425"/>
      <c r="AF113" s="425"/>
      <c r="AG113" s="425"/>
      <c r="AH113" s="425"/>
      <c r="AI113" s="425"/>
    </row>
    <row r="114" spans="3:35" s="300" customFormat="1" ht="18" customHeight="1" hidden="1">
      <c r="C114" s="355" t="str">
        <f>IF(Info!I13&gt;2.5,"Safety factors for flank pressure",IF(Info!I13&gt;1.5,"Sicherheitsfaktoren für Flankenpressung",IF(Info!I13&gt;0.5,"Malzemenin diş yanağının oyuklaşmaya karşı emniyet katsayısı","")))</f>
        <v>Malzemenin diş yanağının oyuklaşmaya karşı emniyet katsayısı</v>
      </c>
      <c r="Y114" s="425"/>
      <c r="Z114" s="425"/>
      <c r="AA114" s="425"/>
      <c r="AB114" s="425"/>
      <c r="AC114" s="425"/>
      <c r="AD114" s="425"/>
      <c r="AE114" s="425"/>
      <c r="AF114" s="425"/>
      <c r="AG114" s="425"/>
      <c r="AH114" s="425"/>
      <c r="AI114" s="425"/>
    </row>
    <row r="115" spans="3:35" s="300" customFormat="1" ht="18" customHeight="1" hidden="1">
      <c r="C115" s="355" t="str">
        <f>IF(Info!I13&gt;2.5,"Safety factors for the tooth base",IF(Info!I13&gt;1.5,"Sicherheitsfaktoren am Zahnfuss",IF(Info!I13&gt;0.5,"Malzemenin diş dibi yorulma kırılmasına karşı emniyet katsayısı","")))</f>
        <v>Malzemenin diş dibi yorulma kırılmasına karşı emniyet katsayısı</v>
      </c>
      <c r="Y115" s="425"/>
      <c r="Z115" s="425"/>
      <c r="AA115" s="425"/>
      <c r="AB115" s="425"/>
      <c r="AC115" s="425"/>
      <c r="AD115" s="425"/>
      <c r="AE115" s="425"/>
      <c r="AF115" s="425"/>
      <c r="AG115" s="425"/>
      <c r="AH115" s="425"/>
      <c r="AI115" s="425"/>
    </row>
    <row r="116" spans="3:35" s="300" customFormat="1" ht="18" customHeight="1" hidden="1">
      <c r="C116" s="355" t="str">
        <f>IF(Info!I13&gt;2.5,"Stress correction factor",IF(Info!I13&gt;1.5,"Spannungskorrekturfaktor",IF(Info!I13&gt;0.5,"Çentik faktörü","")))</f>
        <v>Çentik faktörü</v>
      </c>
      <c r="Y116" s="425"/>
      <c r="Z116" s="425"/>
      <c r="AA116" s="425"/>
      <c r="AB116" s="425"/>
      <c r="AC116" s="425"/>
      <c r="AD116" s="425"/>
      <c r="AE116" s="425"/>
      <c r="AF116" s="425"/>
      <c r="AG116" s="425"/>
      <c r="AH116" s="425"/>
      <c r="AI116" s="425"/>
    </row>
    <row r="117" spans="3:35" s="300" customFormat="1" ht="18" customHeight="1" hidden="1">
      <c r="C117" s="438" t="str">
        <f>IF(Info!I13&gt;2.5,"Overlap ratio",IF(Info!I13&gt;1.5,"Sprungüberdeckung",IF(Info!I13&gt;0.5,"Helis kavrama oranı","")))</f>
        <v>Helis kavrama oranı</v>
      </c>
      <c r="Y117" s="425"/>
      <c r="Z117" s="425"/>
      <c r="AA117" s="425"/>
      <c r="AB117" s="425"/>
      <c r="AC117" s="425"/>
      <c r="AD117" s="425"/>
      <c r="AE117" s="425"/>
      <c r="AF117" s="425"/>
      <c r="AG117" s="425"/>
      <c r="AH117" s="425"/>
      <c r="AI117" s="425"/>
    </row>
    <row r="118" spans="3:35" s="300" customFormat="1" ht="18" customHeight="1" hidden="1">
      <c r="C118" s="438" t="str">
        <f>IF(Info!I13&gt;2.5,"Transverse module",IF(Info!I13&gt;1.5,"Stirnmodul",IF(Info!I13&gt;0.5,"Alın modülü","")))</f>
        <v>Alın modülü</v>
      </c>
      <c r="Y118" s="425"/>
      <c r="Z118" s="425"/>
      <c r="AA118" s="425"/>
      <c r="AB118" s="425"/>
      <c r="AC118" s="425"/>
      <c r="AD118" s="425"/>
      <c r="AE118" s="425"/>
      <c r="AF118" s="425"/>
      <c r="AG118" s="425"/>
      <c r="AH118" s="425"/>
      <c r="AI118" s="425"/>
    </row>
    <row r="119" spans="3:35" s="300" customFormat="1" ht="18" customHeight="1" hidden="1">
      <c r="C119" s="438" t="str">
        <f>IF(Info!I13&gt;2.5,"Real pressure angle",IF(Info!I13&gt;1.5,"Stirneingriffswinkel",IF(Info!I13&gt;0.5,"Alın kavrama açısı","")))</f>
        <v>Alın kavrama açısı</v>
      </c>
      <c r="Y119" s="425"/>
      <c r="Z119" s="425"/>
      <c r="AA119" s="425"/>
      <c r="AB119" s="425"/>
      <c r="AC119" s="425"/>
      <c r="AD119" s="425"/>
      <c r="AE119" s="425"/>
      <c r="AF119" s="425"/>
      <c r="AG119" s="425"/>
      <c r="AH119" s="425"/>
      <c r="AI119" s="425"/>
    </row>
    <row r="120" spans="3:35" s="300" customFormat="1" ht="18" customHeight="1" hidden="1">
      <c r="C120" s="355" t="str">
        <f>IF(Info!I13&gt;2.5,"Transverse factor",IF(Info!I13&gt;1.5,"Stirnfaktor",IF(Info!I13&gt;0.5,"Alın yükü dağılma faktörü","")))</f>
        <v>Alın yükü dağılma faktörü</v>
      </c>
      <c r="Y120" s="425"/>
      <c r="Z120" s="425"/>
      <c r="AA120" s="425"/>
      <c r="AB120" s="425"/>
      <c r="AC120" s="425"/>
      <c r="AD120" s="425"/>
      <c r="AE120" s="425"/>
      <c r="AF120" s="425"/>
      <c r="AG120" s="425"/>
      <c r="AH120" s="425"/>
      <c r="AI120" s="425"/>
    </row>
    <row r="121" spans="3:35" s="300" customFormat="1" ht="18" customHeight="1" hidden="1">
      <c r="C121" s="438" t="str">
        <f>IF(Info!I13&gt;2.5,"Tangential force",IF(Info!I13&gt;1.5,"Tangentialkraft",IF(Info!I13&gt;0.5,"Teğet Kuvvet","")))</f>
        <v>Teğet Kuvvet</v>
      </c>
      <c r="Y121" s="425"/>
      <c r="Z121" s="425"/>
      <c r="AA121" s="425"/>
      <c r="AB121" s="425"/>
      <c r="AC121" s="425"/>
      <c r="AD121" s="425"/>
      <c r="AE121" s="425"/>
      <c r="AF121" s="425"/>
      <c r="AG121" s="425"/>
      <c r="AH121" s="425"/>
      <c r="AI121" s="425"/>
    </row>
    <row r="122" spans="3:35" s="300" customFormat="1" ht="18" customHeight="1" hidden="1">
      <c r="C122" s="438" t="str">
        <f>IF(Info!I13&gt;2.5,"Reference diameter",IF(Info!I13&gt;1.5,"Teilkreisdurchmesser",IF(Info!I13&gt;0.5,"Taksimat dairesi","")))</f>
        <v>Taksimat dairesi</v>
      </c>
      <c r="Y122" s="425"/>
      <c r="Z122" s="425"/>
      <c r="AA122" s="425"/>
      <c r="AB122" s="425"/>
      <c r="AC122" s="425"/>
      <c r="AD122" s="425"/>
      <c r="AE122" s="425"/>
      <c r="AF122" s="425"/>
      <c r="AG122" s="425"/>
      <c r="AH122" s="425"/>
      <c r="AI122" s="425"/>
    </row>
    <row r="123" spans="3:35" s="300" customFormat="1" ht="18" customHeight="1" hidden="1">
      <c r="C123" s="438" t="str">
        <f>IF(Info!I13&gt;2.5,"unalloyed cast steel",IF(Info!I13&gt;1.5,"unlegierter Stahlguss","Alaşımsız çelik döküm"))</f>
        <v>Alaşımsız çelik döküm</v>
      </c>
      <c r="Y123" s="425"/>
      <c r="Z123" s="425"/>
      <c r="AA123" s="425"/>
      <c r="AB123" s="425"/>
      <c r="AC123" s="425"/>
      <c r="AD123" s="425"/>
      <c r="AE123" s="425"/>
      <c r="AF123" s="425"/>
      <c r="AG123" s="425"/>
      <c r="AH123" s="425"/>
      <c r="AI123" s="425"/>
    </row>
    <row r="124" spans="3:35" s="300" customFormat="1" ht="18" customHeight="1" hidden="1">
      <c r="C124" s="438" t="str">
        <f>IF(Info!I13&gt;2.5,"Lower fabrication dimension",IF(Info!I13&gt;1.5,"Unteres Werkstattmass",IF(Info!I13&gt;0.5,"Alt ölçü değeri","")))</f>
        <v>Alt ölçü değeri</v>
      </c>
      <c r="Y124" s="425"/>
      <c r="Z124" s="425"/>
      <c r="AA124" s="425"/>
      <c r="AB124" s="425"/>
      <c r="AC124" s="425"/>
      <c r="AD124" s="425"/>
      <c r="AE124" s="425"/>
      <c r="AF124" s="425"/>
      <c r="AG124" s="425"/>
      <c r="AH124" s="425"/>
      <c r="AI124" s="425"/>
    </row>
    <row r="125" spans="3:35" s="300" customFormat="1" ht="18" customHeight="1" hidden="1">
      <c r="C125" s="355" t="str">
        <f>IF(Info!I13&gt;2.5,"Contact ratio factor",IF(Info!I13&gt;1.5,"Überdeckungsfaktor",IF(Info!I13&gt;0.5,"Yük payı faktörü","")))</f>
        <v>Yük payı faktörü</v>
      </c>
      <c r="Y125" s="425"/>
      <c r="Z125" s="425"/>
      <c r="AA125" s="425"/>
      <c r="AB125" s="425"/>
      <c r="AC125" s="425"/>
      <c r="AD125" s="425"/>
      <c r="AE125" s="425"/>
      <c r="AF125" s="425"/>
      <c r="AG125" s="425"/>
      <c r="AH125" s="425"/>
      <c r="AI125" s="425"/>
    </row>
    <row r="126" spans="3:35" s="300" customFormat="1" ht="18" customHeight="1" hidden="1">
      <c r="C126" s="450" t="str">
        <f>IF(Info!I13&gt;2.5,"Transmission",IF(Info!I13&gt;1.5,"Übersetzung",IF(Info!I13&gt;0.5,"Toplam çevirme","")))</f>
        <v>Toplam çevirme</v>
      </c>
      <c r="Y126" s="425"/>
      <c r="Z126" s="425"/>
      <c r="AA126" s="425"/>
      <c r="AB126" s="425"/>
      <c r="AC126" s="425"/>
      <c r="AD126" s="425"/>
      <c r="AE126" s="425"/>
      <c r="AF126" s="425"/>
      <c r="AG126" s="425"/>
      <c r="AH126" s="425"/>
      <c r="AI126" s="425"/>
    </row>
    <row r="127" spans="3:35" s="300" customFormat="1" ht="18" customHeight="1" hidden="1">
      <c r="C127" s="438" t="str">
        <f>IF(Info!I13&gt;2.5,"Arrangement number of teeth",IF(Info!I13&gt;1.5,"Vergleichszähnezahl",IF(Info!I13&gt;0.5,"Eşdeğer diş sayısı","")))</f>
        <v>Eşdeğer diş sayısı</v>
      </c>
      <c r="Y127" s="425"/>
      <c r="Z127" s="425"/>
      <c r="AA127" s="425"/>
      <c r="AB127" s="425"/>
      <c r="AC127" s="425"/>
      <c r="AD127" s="425"/>
      <c r="AE127" s="425"/>
      <c r="AF127" s="425"/>
      <c r="AG127" s="425"/>
      <c r="AH127" s="425"/>
      <c r="AI127" s="425"/>
    </row>
    <row r="128" spans="3:35" s="300" customFormat="1" ht="18" customHeight="1" hidden="1">
      <c r="C128" s="438" t="str">
        <f>IF(Info!I13&gt;2.5,"Coated",IF(Info!I13&gt;1.5,"Vergütet","İslah edilmiş"))</f>
        <v>İslah edilmiş</v>
      </c>
      <c r="Y128" s="425"/>
      <c r="Z128" s="425"/>
      <c r="AA128" s="425"/>
      <c r="AB128" s="425"/>
      <c r="AC128" s="425"/>
      <c r="AD128" s="425"/>
      <c r="AE128" s="425"/>
      <c r="AF128" s="425"/>
      <c r="AG128" s="425"/>
      <c r="AH128" s="425"/>
      <c r="AI128" s="425"/>
    </row>
    <row r="129" spans="3:35" s="300" customFormat="1" ht="18" customHeight="1" hidden="1">
      <c r="C129" s="450" t="str">
        <f>IF(Info!I13&gt;2.5,"Tempered steel",IF(Info!I13&gt;1.5,"Vergütungsstahl","İslah çeliği"))</f>
        <v>İslah çeliği</v>
      </c>
      <c r="Y129" s="425"/>
      <c r="Z129" s="425"/>
      <c r="AA129" s="425"/>
      <c r="AB129" s="425"/>
      <c r="AC129" s="425"/>
      <c r="AD129" s="425"/>
      <c r="AE129" s="425"/>
      <c r="AF129" s="425"/>
      <c r="AG129" s="425"/>
      <c r="AH129" s="425"/>
      <c r="AI129" s="425"/>
    </row>
    <row r="130" spans="3:35" s="300" customFormat="1" ht="18" customHeight="1" hidden="1">
      <c r="C130" s="450" t="str">
        <f>IF(Info!I13&gt;2.5,"Gearing quality",IF(Info!I13&gt;1.5,"Verzahnungsqualität",IF(Info!I13&gt;0.5,"Dişli kalitesi","")))</f>
        <v>Dişli kalitesi</v>
      </c>
      <c r="Y130" s="425"/>
      <c r="Z130" s="425"/>
      <c r="AA130" s="425"/>
      <c r="AB130" s="425"/>
      <c r="AC130" s="425"/>
      <c r="AD130" s="425"/>
      <c r="AE130" s="425"/>
      <c r="AF130" s="425"/>
      <c r="AG130" s="425"/>
      <c r="AH130" s="425"/>
      <c r="AI130" s="425"/>
    </row>
    <row r="131" spans="3:35" s="300" customFormat="1" ht="18" customHeight="1" hidden="1">
      <c r="C131" s="355" t="str">
        <f>IF(Info!I13&gt;2.5,"Available flank pressure",IF(Info!I13&gt;1.5,"Vorhandene Flankenpressung",IF(Info!I13&gt;0.5,"İşletmede Hertz basıncı","")))</f>
        <v>İşletmede Hertz basıncı</v>
      </c>
      <c r="Y131" s="425"/>
      <c r="Z131" s="425"/>
      <c r="AA131" s="425"/>
      <c r="AB131" s="425"/>
      <c r="AC131" s="425"/>
      <c r="AD131" s="425"/>
      <c r="AE131" s="425"/>
      <c r="AF131" s="425"/>
      <c r="AG131" s="425"/>
      <c r="AH131" s="425"/>
      <c r="AI131" s="425"/>
    </row>
    <row r="132" spans="3:35" s="300" customFormat="1" ht="18" customHeight="1" hidden="1">
      <c r="C132" s="355" t="str">
        <f>IF(Info!I13&gt;2.5,"Available safety factors",IF(Info!I13&gt;1.5,"Vorhandene Sicherheitsfaktoren",IF(Info!I13&gt;0.5,"Hesapsal Emniyet faktörü","")))</f>
        <v>Hesapsal Emniyet faktörü</v>
      </c>
      <c r="Y132" s="425"/>
      <c r="Z132" s="425"/>
      <c r="AA132" s="425"/>
      <c r="AB132" s="425"/>
      <c r="AC132" s="425"/>
      <c r="AD132" s="425"/>
      <c r="AE132" s="425"/>
      <c r="AF132" s="425"/>
      <c r="AG132" s="425"/>
      <c r="AH132" s="425"/>
      <c r="AI132" s="425"/>
    </row>
    <row r="133" s="300" customFormat="1" ht="18" customHeight="1" hidden="1">
      <c r="C133" s="445" t="str">
        <f>IF(Info!I13&gt;2.5,"Material",IF(Info!I13&gt;1.5,"Werkstoff",IF(Info!I13&gt;0.5,"Malzeme","")))</f>
        <v>Malzeme</v>
      </c>
    </row>
    <row r="134" s="300" customFormat="1" ht="18" customHeight="1" hidden="1">
      <c r="C134" s="355" t="str">
        <f>IF(Info!I13&gt;2.5,"Pairing of materials factor",IF(Info!I13&gt;1.5,"Werkstoffpaarungsfaktor",IF(Info!I13&gt;0.5,"Malzeme çifti faktörü","")))</f>
        <v>Malzeme çifti faktörü</v>
      </c>
    </row>
    <row r="135" s="300" customFormat="1" ht="18" customHeight="1" hidden="1">
      <c r="C135" s="647" t="str">
        <f>IF(Info!I13&gt;2.5,"Material",IF(Info!I13&gt;1.5,"Werkstoffart und Behandlung ",IF(Info!I13&gt;0.5,"Malzeme cinsi ve İşlemi","")))</f>
        <v>Malzeme cinsi ve İşlemi</v>
      </c>
    </row>
    <row r="136" s="300" customFormat="1" ht="18" customHeight="1" hidden="1">
      <c r="C136" s="355" t="str">
        <f>IF(Info!I13&gt;2.5,"Tools machine",IF(Info!I13&gt;1.5,"Werkzeugmaschinen",IF(Info!I13&gt;0.5,"Takım ve imalat makinaları","")))</f>
        <v>Takım ve imalat makinaları</v>
      </c>
    </row>
    <row r="137" s="300" customFormat="1" ht="18" customHeight="1" hidden="1">
      <c r="C137" s="438" t="str">
        <f>IF(Info!I13&gt;2.5,"How many stages does the gear have?",IF(Info!I13&gt;1.5,"Wie viele Stufen hat das Getriebe?",IF(Info!I13&gt;0.5,"Redüktörde kaç kademe var?","")))</f>
        <v>Redüktörde kaç kademe var?</v>
      </c>
    </row>
    <row r="138" s="300" customFormat="1" ht="18" customHeight="1" hidden="1">
      <c r="C138" s="450" t="str">
        <f>IF(Info!I13&gt;2.5,"Tooth width",IF(Info!I13&gt;1.5,"Zahnbreite",IF(Info!I13&gt;0.5,"Diş genişliği","")))</f>
        <v>Diş genişliği</v>
      </c>
    </row>
    <row r="139" s="300" customFormat="1" ht="18" customHeight="1" hidden="1">
      <c r="C139" s="355" t="str">
        <f>IF(Info!I13&gt;2.5,"Teething fat person tolerance TSN in µ m according to DIN 3967 (excerpt)",IF(Info!I13&gt;1.5,"Zahndickentoleranz Tsn in µm nach DIN 3967 (Auszug)",IF(Info!I13&gt;0.5,"Dişkalınlığı tolerans genişliği Tsn [µm] DIN 3967 ye göre","")))</f>
        <v>Dişkalınlığı tolerans genişliği Tsn [µm] DIN 3967 ye göre</v>
      </c>
    </row>
    <row r="140" spans="3:35" s="300" customFormat="1" ht="18" customHeight="1" hidden="1">
      <c r="C140" s="451" t="str">
        <f>IF(Info!I13&gt;2.5,"Number of teeth",IF(Info!I13&gt;1.5,"Zähnezahl",IF(Info!I13&gt;0.5,"Diş sayısı","")))</f>
        <v>Diş sayısı</v>
      </c>
      <c r="Y140" s="424"/>
      <c r="Z140" s="424"/>
      <c r="AA140" s="424"/>
      <c r="AB140" s="424"/>
      <c r="AC140" s="424"/>
      <c r="AD140" s="424"/>
      <c r="AE140" s="424"/>
      <c r="AF140" s="424"/>
      <c r="AG140" s="424"/>
      <c r="AH140" s="424"/>
      <c r="AI140" s="424"/>
    </row>
    <row r="141" spans="3:35" s="300" customFormat="1" ht="18" customHeight="1" hidden="1">
      <c r="C141" s="355" t="str">
        <f>IF(Info!I13&gt;2.5,"Gear ratio",IF(Info!I13&gt;1.5,"Zähnezahlverhältnis",IF(Info!I13&gt;0.5,"Çevirme oranı","")))</f>
        <v>Çevirme oranı</v>
      </c>
      <c r="Y141" s="424"/>
      <c r="Z141" s="424"/>
      <c r="AA141" s="424"/>
      <c r="AB141" s="424"/>
      <c r="AC141" s="424"/>
      <c r="AD141" s="424"/>
      <c r="AE141" s="424"/>
      <c r="AF141" s="424"/>
      <c r="AG141" s="424"/>
      <c r="AH141" s="424"/>
      <c r="AI141" s="424"/>
    </row>
    <row r="142" spans="3:35" s="300" customFormat="1" ht="18" customHeight="1" hidden="1">
      <c r="C142" s="445" t="str">
        <f>IF(Info!I13&gt;2.5,"Tooth flanks strength",IF(Info!I13&gt;1.5,"Zahnflankenfestigkeitswert",IF(Info!I13&gt;0.5,"Diş yanak mukavemeti","")))</f>
        <v>Diş yanak mukavemeti</v>
      </c>
      <c r="Y142" s="424"/>
      <c r="Z142" s="424"/>
      <c r="AA142" s="424"/>
      <c r="AB142" s="424"/>
      <c r="AC142" s="424"/>
      <c r="AD142" s="424"/>
      <c r="AE142" s="424"/>
      <c r="AF142" s="424"/>
      <c r="AG142" s="424"/>
      <c r="AH142" s="424"/>
      <c r="AI142" s="424"/>
    </row>
    <row r="143" spans="3:35" s="300" customFormat="1" ht="18" customHeight="1" hidden="1">
      <c r="C143" s="445" t="str">
        <f>IF(Info!I13&gt;2.5,"Rooth-strength of teeth",IF(Info!I13&gt;1.5,"Zahnfussfestigkeitswert",IF(Info!I13&gt;0.5,"Diş dibi mukavemeti","")))</f>
        <v>Diş dibi mukavemeti</v>
      </c>
      <c r="Y143" s="425"/>
      <c r="Z143" s="425"/>
      <c r="AA143" s="425"/>
      <c r="AB143" s="425"/>
      <c r="AC143" s="425"/>
      <c r="AD143" s="425"/>
      <c r="AE143" s="425"/>
      <c r="AF143" s="425"/>
      <c r="AG143" s="425"/>
      <c r="AH143" s="425"/>
      <c r="AI143" s="425"/>
    </row>
    <row r="144" spans="3:35" s="300" customFormat="1" ht="18" customHeight="1" hidden="1">
      <c r="C144" s="438" t="str">
        <f>IF(Info!I13&gt;2.5,"Base tangent length tolerance",IF(Info!I13&gt;1.5,"Zahnweitenabmass",IF(Info!I13&gt;0.5,"Toleransları","")))</f>
        <v>Toleransları</v>
      </c>
      <c r="X144" s="425"/>
      <c r="Y144" s="425"/>
      <c r="Z144" s="425"/>
      <c r="AA144" s="425"/>
      <c r="AB144" s="425"/>
      <c r="AC144" s="425"/>
      <c r="AD144" s="425"/>
      <c r="AE144" s="425"/>
      <c r="AF144" s="425"/>
      <c r="AG144" s="425"/>
      <c r="AH144" s="425"/>
      <c r="AI144" s="425"/>
    </row>
    <row r="145" s="300" customFormat="1" ht="18" customHeight="1" hidden="1">
      <c r="C145" s="438" t="str">
        <f>IF(Info!I13&gt;2.5,"Base tangent length",IF(Info!I13&gt;1.5,"Zahnweitennennmass",IF(Info!I13&gt;0.5,"Kontrol ölçü değeri","")))</f>
        <v>Kontrol ölçü değeri</v>
      </c>
    </row>
    <row r="146" s="300" customFormat="1" ht="18" customHeight="1" hidden="1">
      <c r="C146" s="453" t="str">
        <f>IF(Info!I13&gt;2.5,"Distribution factor",IF(Info!I13&gt;1.5,"Zonenfaktor",IF(Info!I13&gt;0.5,"Diş yanağı form faktörü ","")))</f>
        <v>Diş yanağı form faktörü </v>
      </c>
    </row>
    <row r="147" s="300" customFormat="1" ht="18" customHeight="1" hidden="1"/>
    <row r="148" s="300" customFormat="1" ht="18" customHeight="1" hidden="1">
      <c r="C148" s="454"/>
    </row>
    <row r="149" s="300" customFormat="1" ht="18" customHeight="1" hidden="1"/>
    <row r="150" s="300" customFormat="1" ht="18" customHeight="1"/>
    <row r="151" s="300" customFormat="1" ht="18" customHeight="1"/>
    <row r="152" s="300" customFormat="1" ht="18" customHeight="1">
      <c r="C152" s="453"/>
    </row>
    <row r="153" s="300" customFormat="1" ht="18" customHeight="1">
      <c r="C153" s="455"/>
    </row>
    <row r="154" ht="18" customHeight="1">
      <c r="C154" s="357"/>
    </row>
    <row r="155" ht="18" customHeight="1">
      <c r="C155" s="357"/>
    </row>
    <row r="156" ht="18" customHeight="1">
      <c r="C156" s="357"/>
    </row>
    <row r="157" ht="18" customHeight="1">
      <c r="C157" s="453"/>
    </row>
    <row r="158" ht="18" customHeight="1"/>
    <row r="159" ht="18" customHeight="1"/>
    <row r="160" ht="18" customHeight="1"/>
    <row r="161" ht="18" customHeight="1"/>
    <row r="162" ht="18" customHeight="1"/>
    <row r="163" ht="18" customHeight="1"/>
    <row r="164" ht="18" customHeight="1"/>
    <row r="165" ht="18" customHeight="1"/>
  </sheetData>
  <sheetProtection password="EF77" sheet="1" objects="1" scenarios="1"/>
  <mergeCells count="34">
    <mergeCell ref="X31:AM32"/>
    <mergeCell ref="X2:AH2"/>
    <mergeCell ref="X3:AH3"/>
    <mergeCell ref="C4:R5"/>
    <mergeCell ref="X5:AM5"/>
    <mergeCell ref="C7:R8"/>
    <mergeCell ref="X8:AM8"/>
    <mergeCell ref="C10:R11"/>
    <mergeCell ref="X10:AM11"/>
    <mergeCell ref="X6:AM7"/>
    <mergeCell ref="AQ18:BB19"/>
    <mergeCell ref="X27:AM28"/>
    <mergeCell ref="X29:AM30"/>
    <mergeCell ref="C19:R19"/>
    <mergeCell ref="C21:R24"/>
    <mergeCell ref="X18:AM19"/>
    <mergeCell ref="C17:R18"/>
    <mergeCell ref="X20:AM20"/>
    <mergeCell ref="C25:R26"/>
    <mergeCell ref="X24:AM25"/>
    <mergeCell ref="X26:AM26"/>
    <mergeCell ref="C13:R15"/>
    <mergeCell ref="X14:AM14"/>
    <mergeCell ref="X12:AM13"/>
    <mergeCell ref="AQ20:BB21"/>
    <mergeCell ref="X21:AM23"/>
    <mergeCell ref="AQ22:BB23"/>
    <mergeCell ref="AQ2:BB2"/>
    <mergeCell ref="AQ3:BB3"/>
    <mergeCell ref="AQ4:BB4"/>
    <mergeCell ref="AQ6:BB9"/>
    <mergeCell ref="AQ10:BB13"/>
    <mergeCell ref="AQ14:BB17"/>
    <mergeCell ref="X16:AM17"/>
  </mergeCells>
  <printOptions horizontalCentered="1" verticalCentered="1"/>
  <pageMargins left="0.3937007874015748" right="0.3937007874015748" top="0.7874015748031497" bottom="0.7874015748031497" header="0.5118110236220472" footer="0.5118110236220472"/>
  <pageSetup horizontalDpi="300" verticalDpi="300" orientation="landscape" paperSize="9" scale="83" r:id="rId1"/>
  <headerFooter alignWithMargins="0">
    <oddFooter>&amp;L&amp;F / &amp;A / &amp;D&amp;RSeite &amp;P von &amp;N</oddFooter>
  </headerFooter>
</worksheet>
</file>

<file path=xl/worksheets/sheet3.xml><?xml version="1.0" encoding="utf-8"?>
<worksheet xmlns="http://schemas.openxmlformats.org/spreadsheetml/2006/main" xmlns:r="http://schemas.openxmlformats.org/officeDocument/2006/relationships">
  <sheetPr codeName="Tabelle3"/>
  <dimension ref="A1:Z61"/>
  <sheetViews>
    <sheetView showGridLines="0" showRowColHeaders="0" zoomScale="90" zoomScaleNormal="90" workbookViewId="0" topLeftCell="A1">
      <selection activeCell="F21" sqref="F21"/>
    </sheetView>
  </sheetViews>
  <sheetFormatPr defaultColWidth="11.421875" defaultRowHeight="15" customHeight="1"/>
  <cols>
    <col min="1" max="1" width="2.7109375" style="173" customWidth="1"/>
    <col min="2" max="2" width="24.7109375" style="173" customWidth="1"/>
    <col min="3" max="5" width="7.7109375" style="173" customWidth="1"/>
    <col min="6" max="8" width="12.7109375" style="173" customWidth="1"/>
    <col min="9" max="9" width="11.7109375" style="173" customWidth="1"/>
    <col min="10" max="10" width="3.7109375" style="173" customWidth="1"/>
    <col min="11" max="16" width="8.7109375" style="173" customWidth="1"/>
    <col min="17" max="17" width="2.7109375" style="173" customWidth="1"/>
    <col min="18" max="19" width="2.7109375" style="173" hidden="1" customWidth="1"/>
    <col min="20" max="22" width="8.7109375" style="173" hidden="1" customWidth="1"/>
    <col min="23" max="24" width="2.7109375" style="173" customWidth="1"/>
    <col min="25" max="16384" width="11.421875" style="173" customWidth="1"/>
  </cols>
  <sheetData>
    <row r="1" spans="1:16" s="18" customFormat="1" ht="13.5" customHeight="1">
      <c r="A1" s="5"/>
      <c r="B1" s="436" t="str">
        <f>0!C104</f>
        <v>Proje :</v>
      </c>
      <c r="C1" s="642" t="s">
        <v>109</v>
      </c>
      <c r="D1" s="642"/>
      <c r="E1" s="642"/>
      <c r="F1" s="642"/>
      <c r="G1" s="642"/>
      <c r="H1" s="642"/>
      <c r="I1" s="401" t="str">
        <f>Info!B11</f>
        <v>www.guven-kutay.ch</v>
      </c>
      <c r="J1" s="17"/>
      <c r="K1" s="19"/>
      <c r="N1" s="19"/>
      <c r="O1" s="17"/>
      <c r="P1" s="433" t="str">
        <f>Info!N11</f>
        <v>Copyright : M. G. Kutay , Ver 10.02</v>
      </c>
    </row>
    <row r="2" spans="1:16" s="18" customFormat="1" ht="6.75" customHeight="1">
      <c r="A2" s="5"/>
      <c r="B2" s="436"/>
      <c r="C2" s="1"/>
      <c r="D2" s="1"/>
      <c r="E2" s="1"/>
      <c r="F2" s="1"/>
      <c r="G2" s="1"/>
      <c r="H2" s="1"/>
      <c r="I2" s="401"/>
      <c r="J2" s="17"/>
      <c r="K2" s="19"/>
      <c r="N2" s="19"/>
      <c r="O2" s="17"/>
      <c r="P2" s="433"/>
    </row>
    <row r="3" spans="2:16" s="18" customFormat="1" ht="13.5" customHeight="1">
      <c r="B3" s="176" t="str">
        <f>0!AF34</f>
        <v>1. Temel değerler</v>
      </c>
      <c r="C3" s="869" t="str">
        <f>0!C66</f>
        <v>Kullanıldığı yer</v>
      </c>
      <c r="D3" s="869"/>
      <c r="E3" s="869"/>
      <c r="F3" s="346" t="s">
        <v>109</v>
      </c>
      <c r="G3" s="346"/>
      <c r="H3" s="346"/>
      <c r="I3" s="1"/>
      <c r="J3" s="17"/>
      <c r="K3" s="17"/>
      <c r="L3" s="17"/>
      <c r="N3" s="19"/>
      <c r="O3" s="17"/>
      <c r="P3" s="17"/>
    </row>
    <row r="4" spans="1:17" s="18" customFormat="1" ht="13.5" customHeight="1">
      <c r="A4" s="17"/>
      <c r="B4" s="348" t="str">
        <f>0!C137</f>
        <v>Redüktörde kaç kademe var?</v>
      </c>
      <c r="C4" s="349"/>
      <c r="D4" s="381"/>
      <c r="E4" s="350">
        <v>3</v>
      </c>
      <c r="F4" s="382" t="str">
        <f>IF(Info!$I$13&gt;2.5,"1. Stage",IF(Info!$I$13&gt;1.5,"1. Stufe","1. Kademe"))</f>
        <v>1. Kademe</v>
      </c>
      <c r="G4" s="383" t="str">
        <f>IF(E4&lt;1.5,"",IF(Info!$I$13&gt;2.5,"2. Stage",IF(Info!$I$13&gt;1.5,"2. Stufe","2. Kademe")))</f>
        <v>2. Kademe</v>
      </c>
      <c r="H4" s="384" t="str">
        <f>IF(E4&lt;2.5,"",IF(Info!$I$13&gt;2.5,"3. Stage",IF(Info!$I$13&gt;1.5,"3. Stufe","3. Kademe")))</f>
        <v>3. Kademe</v>
      </c>
      <c r="O4" s="17"/>
      <c r="P4" s="17"/>
      <c r="Q4" s="17"/>
    </row>
    <row r="5" spans="1:17" s="18" customFormat="1" ht="13.5" customHeight="1">
      <c r="A5" s="17"/>
      <c r="B5" s="180" t="str">
        <f>0!C63</f>
        <v>Giriş devir sayısı </v>
      </c>
      <c r="C5" s="185"/>
      <c r="D5" s="241" t="s">
        <v>88</v>
      </c>
      <c r="E5" s="242" t="str">
        <f>IF(Info!I13&gt;2.5,"1/min ",IF(Info!I13&gt;1.5,"1/min",IF(Info!I13&gt;0.5,"1/dak","")))</f>
        <v>1/dak</v>
      </c>
      <c r="F5" s="351">
        <v>1460</v>
      </c>
      <c r="G5" s="385">
        <f>IF(E4&lt;1.5,"",IF(G11&gt;1,F7,""))</f>
        <v>365</v>
      </c>
      <c r="H5" s="386">
        <f>IF(E4&lt;2.5,"",IF(H11&gt;1,G7,""))</f>
        <v>84.23076923076924</v>
      </c>
      <c r="I5" s="17"/>
      <c r="J5" s="17"/>
      <c r="O5" s="17"/>
      <c r="P5" s="17"/>
      <c r="Q5" s="17"/>
    </row>
    <row r="6" spans="1:17" s="18" customFormat="1" ht="13.5" customHeight="1">
      <c r="A6" s="17"/>
      <c r="B6" s="180" t="str">
        <f>0!C126</f>
        <v>Toplam çevirme</v>
      </c>
      <c r="C6" s="224"/>
      <c r="D6" s="241" t="s">
        <v>0</v>
      </c>
      <c r="E6" s="242" t="s">
        <v>86</v>
      </c>
      <c r="F6" s="335">
        <f>F12/F11</f>
        <v>4</v>
      </c>
      <c r="G6" s="807">
        <f>IF(E4&lt;1.5,"",IF(G11&gt;1,G12/G11,""))</f>
        <v>4.333333333333333</v>
      </c>
      <c r="H6" s="268">
        <f>IF(E4&lt;2.5,"",IF(G11&gt;1,H12/H11,""))</f>
        <v>3.8125</v>
      </c>
      <c r="I6" s="1"/>
      <c r="J6" s="1"/>
      <c r="O6" s="17"/>
      <c r="P6" s="17"/>
      <c r="Q6" s="17"/>
    </row>
    <row r="7" spans="1:17" s="182" customFormat="1" ht="13.5" customHeight="1">
      <c r="A7" s="14"/>
      <c r="B7" s="183" t="str">
        <f>0!C40</f>
        <v>Çıkış devir ayısı </v>
      </c>
      <c r="C7" s="185"/>
      <c r="D7" s="237" t="s">
        <v>83</v>
      </c>
      <c r="E7" s="238" t="str">
        <f>IF(Info!I13&gt;2.5,"1/min ",IF(Info!I13&gt;1.5,"1/min",IF(Info!I13&gt;0.5,"1/dak","")))</f>
        <v>1/dak</v>
      </c>
      <c r="F7" s="352">
        <f>IF(F11&gt;1,F5/F6,"")</f>
        <v>365</v>
      </c>
      <c r="G7" s="214">
        <f>IF(E4&lt;1.5,"",IF(G11&gt;1,G5/G6,""))</f>
        <v>84.23076923076924</v>
      </c>
      <c r="H7" s="215">
        <f>IF(E4&lt;2.5,"",IF(H11&gt;1,H5/H6,""))</f>
        <v>22.09331651954603</v>
      </c>
      <c r="I7" s="1"/>
      <c r="J7" s="1"/>
      <c r="K7" s="810"/>
      <c r="L7" s="827" t="str">
        <f>F4</f>
        <v>1. Kademe</v>
      </c>
      <c r="M7" s="827" t="str">
        <f>G4</f>
        <v>2. Kademe</v>
      </c>
      <c r="N7" s="828" t="str">
        <f>H4</f>
        <v>3. Kademe</v>
      </c>
      <c r="O7" s="181"/>
      <c r="P7" s="181"/>
      <c r="Q7" s="181"/>
    </row>
    <row r="8" spans="1:17" s="18" customFormat="1" ht="13.5" customHeight="1">
      <c r="A8" s="182"/>
      <c r="B8" s="180" t="str">
        <f>0!C59</f>
        <v>Pinyon milindeki moment</v>
      </c>
      <c r="C8" s="185"/>
      <c r="D8" s="246" t="s">
        <v>89</v>
      </c>
      <c r="E8" s="242" t="s">
        <v>82</v>
      </c>
      <c r="F8" s="351">
        <v>139100</v>
      </c>
      <c r="G8" s="385">
        <f>IF(E4&lt;1.5,"",F8*F12/F11*L11)</f>
        <v>526171.834032</v>
      </c>
      <c r="H8" s="386">
        <f>IF(E4&lt;2.5,"",G8*H12/H11*M11)</f>
        <v>1976089.866993324</v>
      </c>
      <c r="I8" s="1"/>
      <c r="J8" s="1"/>
      <c r="K8" s="811" t="s">
        <v>101</v>
      </c>
      <c r="L8" s="812">
        <f>K20^2</f>
        <v>0.990025</v>
      </c>
      <c r="M8" s="812">
        <f>IF(E4&lt;1.5,"",IF(G11&gt;1,K20^2,""))</f>
        <v>0.990025</v>
      </c>
      <c r="N8" s="813">
        <f>IF(E4&lt;2.5,"",IF(G11&gt;1,K20^2,""))</f>
        <v>0.990025</v>
      </c>
      <c r="O8" s="17"/>
      <c r="P8" s="17"/>
      <c r="Q8" s="17"/>
    </row>
    <row r="9" spans="2:24" s="18" customFormat="1" ht="13.5" customHeight="1">
      <c r="B9" s="27" t="str">
        <f>0!C111</f>
        <v>Yağ ve Viskositesi</v>
      </c>
      <c r="C9" s="643" t="s">
        <v>65</v>
      </c>
      <c r="D9" s="826">
        <v>50</v>
      </c>
      <c r="E9" s="353" t="s">
        <v>606</v>
      </c>
      <c r="F9" s="843">
        <v>120</v>
      </c>
      <c r="G9" s="844"/>
      <c r="H9" s="845"/>
      <c r="I9" s="1"/>
      <c r="J9" s="1"/>
      <c r="K9" s="811" t="s">
        <v>102</v>
      </c>
      <c r="L9" s="812">
        <f>L20</f>
        <v>0.995</v>
      </c>
      <c r="M9" s="812">
        <f>IF(E4&lt;1.5,"",IF(G11&gt;1,L20,""))</f>
        <v>0.995</v>
      </c>
      <c r="N9" s="814">
        <f>IF(E4&lt;2.5,"",IF(G11&gt;1,L20,""))</f>
        <v>0.995</v>
      </c>
      <c r="R9" s="17"/>
      <c r="S9" s="17"/>
      <c r="T9" s="17"/>
      <c r="U9" s="17"/>
      <c r="V9" s="17"/>
      <c r="W9" s="17"/>
      <c r="X9" s="17"/>
    </row>
    <row r="10" spans="1:24" s="18" customFormat="1" ht="13.5" customHeight="1">
      <c r="A10" s="17"/>
      <c r="I10" s="1"/>
      <c r="J10" s="1"/>
      <c r="K10" s="811" t="s">
        <v>103</v>
      </c>
      <c r="L10" s="812">
        <f>M20</f>
        <v>0.96</v>
      </c>
      <c r="M10" s="815">
        <f>IF(E4&gt;2.5,"",IF(E4&lt;1.5,"",M20))</f>
      </c>
      <c r="N10" s="814">
        <f>IF(E4&lt;2.5,"",IF(G11&gt;1,M20,""))</f>
        <v>0.96</v>
      </c>
      <c r="P10" s="17"/>
      <c r="Q10" s="17"/>
      <c r="R10" s="17"/>
      <c r="S10" s="17"/>
      <c r="T10" s="17"/>
      <c r="U10" s="17"/>
      <c r="V10" s="17"/>
      <c r="W10" s="17"/>
      <c r="X10" s="17"/>
    </row>
    <row r="11" spans="1:24" s="18" customFormat="1" ht="13.5" customHeight="1">
      <c r="A11" s="17"/>
      <c r="B11" s="20" t="str">
        <f>0!C140</f>
        <v>Diş sayısı</v>
      </c>
      <c r="C11" s="228"/>
      <c r="D11" s="235" t="s">
        <v>90</v>
      </c>
      <c r="E11" s="236" t="s">
        <v>84</v>
      </c>
      <c r="F11" s="740">
        <v>12</v>
      </c>
      <c r="G11" s="741">
        <v>18</v>
      </c>
      <c r="H11" s="742">
        <v>16</v>
      </c>
      <c r="I11" s="1"/>
      <c r="J11" s="1"/>
      <c r="K11" s="816" t="s">
        <v>556</v>
      </c>
      <c r="L11" s="817">
        <f>L8*L9*L10</f>
        <v>0.94567188</v>
      </c>
      <c r="M11" s="817">
        <f>IF(E4&lt;1.5,"",IF(E4&lt;2.5,M8*M9*M10,M8*M9))</f>
        <v>0.985074875</v>
      </c>
      <c r="N11" s="818">
        <f>IF(E4&lt;2.5,"",IF(G11&gt;1,N8*N9*N10,""))</f>
        <v>0.94567188</v>
      </c>
      <c r="P11" s="17"/>
      <c r="Q11" s="17"/>
      <c r="R11" s="17"/>
      <c r="S11" s="17"/>
      <c r="T11" s="17"/>
      <c r="U11" s="17"/>
      <c r="V11" s="17"/>
      <c r="W11" s="17"/>
      <c r="X11" s="17"/>
    </row>
    <row r="12" spans="1:21" s="18" customFormat="1" ht="13.5" customHeight="1">
      <c r="A12" s="17"/>
      <c r="B12" s="186"/>
      <c r="C12" s="229"/>
      <c r="D12" s="237" t="s">
        <v>91</v>
      </c>
      <c r="E12" s="238" t="s">
        <v>84</v>
      </c>
      <c r="F12" s="743">
        <v>48</v>
      </c>
      <c r="G12" s="744">
        <v>78</v>
      </c>
      <c r="H12" s="745">
        <v>61</v>
      </c>
      <c r="I12" s="1"/>
      <c r="J12" s="1"/>
      <c r="L12" s="808"/>
      <c r="M12" s="808"/>
      <c r="N12" s="808"/>
      <c r="P12" s="17"/>
      <c r="Q12" s="17"/>
      <c r="R12" s="17"/>
      <c r="S12" s="17"/>
      <c r="T12" s="17"/>
      <c r="U12" s="17"/>
    </row>
    <row r="13" spans="1:17" s="182" customFormat="1" ht="13.5" customHeight="1">
      <c r="A13" s="101"/>
      <c r="B13" s="387" t="str">
        <f>0!C94</f>
        <v>Modül</v>
      </c>
      <c r="C13" s="224"/>
      <c r="D13" s="239" t="s">
        <v>60</v>
      </c>
      <c r="E13" s="240" t="s">
        <v>57</v>
      </c>
      <c r="F13" s="743">
        <v>3</v>
      </c>
      <c r="G13" s="744">
        <v>5</v>
      </c>
      <c r="H13" s="745">
        <v>8</v>
      </c>
      <c r="I13" s="1"/>
      <c r="J13" s="1"/>
      <c r="O13" s="17"/>
      <c r="P13" s="181"/>
      <c r="Q13" s="181"/>
    </row>
    <row r="14" spans="1:16" ht="13.5" customHeight="1" thickBot="1">
      <c r="A14" s="182"/>
      <c r="B14" s="183" t="str">
        <f>0!C64</f>
        <v>Kavrama açısı</v>
      </c>
      <c r="C14" s="185"/>
      <c r="D14" s="456" t="s">
        <v>62</v>
      </c>
      <c r="E14" s="238" t="s">
        <v>85</v>
      </c>
      <c r="F14" s="866">
        <v>20</v>
      </c>
      <c r="G14" s="867"/>
      <c r="H14" s="868"/>
      <c r="I14" s="1"/>
      <c r="J14" s="1"/>
      <c r="O14" s="181"/>
      <c r="P14" s="749"/>
    </row>
    <row r="15" spans="1:26" s="182" customFormat="1" ht="13.5" customHeight="1" thickBot="1" thickTop="1">
      <c r="A15" s="187"/>
      <c r="B15" s="25" t="str">
        <f>0!C138</f>
        <v>Diş genişliği</v>
      </c>
      <c r="C15" s="230"/>
      <c r="D15" s="241" t="s">
        <v>92</v>
      </c>
      <c r="E15" s="242" t="s">
        <v>57</v>
      </c>
      <c r="F15" s="743">
        <v>65</v>
      </c>
      <c r="G15" s="744">
        <v>113</v>
      </c>
      <c r="H15" s="745">
        <v>150</v>
      </c>
      <c r="I15" s="1"/>
      <c r="J15" s="1"/>
      <c r="K15" s="739" t="s">
        <v>557</v>
      </c>
      <c r="L15" s="809">
        <f>IF(E4&gt;2.5,L11*M11*N11,IF(E4&gt;1.5,L11*M11,L11))</f>
        <v>0.8809478354143271</v>
      </c>
      <c r="M15" s="1"/>
      <c r="N15" s="1"/>
      <c r="O15" s="358"/>
      <c r="P15" s="181"/>
      <c r="Q15" s="1"/>
      <c r="R15" s="1"/>
      <c r="S15" s="1"/>
      <c r="T15" s="1"/>
      <c r="U15" s="1"/>
      <c r="V15" s="1"/>
      <c r="W15" s="1"/>
      <c r="X15" s="1"/>
      <c r="Y15" s="1"/>
      <c r="Z15" s="1"/>
    </row>
    <row r="16" spans="1:26" s="18" customFormat="1" ht="13.5" customHeight="1" thickTop="1">
      <c r="A16" s="188"/>
      <c r="B16" s="189"/>
      <c r="C16" s="229"/>
      <c r="D16" s="237" t="s">
        <v>93</v>
      </c>
      <c r="E16" s="238" t="s">
        <v>57</v>
      </c>
      <c r="F16" s="743">
        <v>60</v>
      </c>
      <c r="G16" s="744">
        <v>105</v>
      </c>
      <c r="H16" s="745">
        <v>140</v>
      </c>
      <c r="I16" s="1"/>
      <c r="J16" s="1"/>
      <c r="O16" s="181"/>
      <c r="P16" s="5"/>
      <c r="Q16" s="1"/>
      <c r="R16" s="1"/>
      <c r="S16" s="1"/>
      <c r="T16" s="1"/>
      <c r="U16" s="1"/>
      <c r="V16" s="1"/>
      <c r="W16" s="1"/>
      <c r="X16" s="1"/>
      <c r="Y16" s="1"/>
      <c r="Z16" s="1"/>
    </row>
    <row r="17" spans="1:26" s="182" customFormat="1" ht="13.5" customHeight="1">
      <c r="A17" s="101"/>
      <c r="B17" s="190" t="str">
        <f>0!C113</f>
        <v>Helis açısı</v>
      </c>
      <c r="C17" s="224"/>
      <c r="D17" s="243" t="s">
        <v>8</v>
      </c>
      <c r="E17" s="240" t="s">
        <v>85</v>
      </c>
      <c r="F17" s="743">
        <v>19.7246</v>
      </c>
      <c r="G17" s="744">
        <v>14.4775</v>
      </c>
      <c r="H17" s="745">
        <v>10.0787</v>
      </c>
      <c r="I17" s="1"/>
      <c r="J17" s="1"/>
      <c r="K17" s="1"/>
      <c r="L17" s="1"/>
      <c r="M17" s="1"/>
      <c r="N17" s="1"/>
      <c r="O17" s="5"/>
      <c r="P17" s="5"/>
      <c r="Q17" s="1"/>
      <c r="R17" s="1"/>
      <c r="S17" s="1"/>
      <c r="T17" s="1"/>
      <c r="U17" s="1"/>
      <c r="V17" s="1"/>
      <c r="W17" s="1"/>
      <c r="X17" s="1"/>
      <c r="Y17" s="1"/>
      <c r="Z17" s="1"/>
    </row>
    <row r="18" spans="1:26" ht="13.5" customHeight="1">
      <c r="A18" s="182"/>
      <c r="B18" s="191" t="str">
        <f>0!C72</f>
        <v>Helis yönü</v>
      </c>
      <c r="C18" s="230"/>
      <c r="D18" s="237" t="str">
        <f>0!C109</f>
        <v>Pinyon</v>
      </c>
      <c r="E18" s="238" t="s">
        <v>84</v>
      </c>
      <c r="F18" s="743" t="s">
        <v>95</v>
      </c>
      <c r="G18" s="744" t="str">
        <f>F19</f>
        <v>sol</v>
      </c>
      <c r="H18" s="745" t="str">
        <f>F18</f>
        <v>sağ</v>
      </c>
      <c r="I18" s="1"/>
      <c r="J18" s="1"/>
      <c r="K18" s="1"/>
      <c r="L18" s="1"/>
      <c r="M18" s="1"/>
      <c r="N18" s="1"/>
      <c r="O18" s="5"/>
      <c r="P18" s="5"/>
      <c r="Q18" s="1"/>
      <c r="R18" s="1"/>
      <c r="S18" s="1"/>
      <c r="T18" s="1"/>
      <c r="U18" s="1"/>
      <c r="V18" s="1"/>
      <c r="W18" s="1"/>
      <c r="X18" s="1"/>
      <c r="Y18" s="1"/>
      <c r="Z18" s="1"/>
    </row>
    <row r="19" spans="1:26" s="182" customFormat="1" ht="13.5" customHeight="1">
      <c r="A19" s="187"/>
      <c r="B19" s="192"/>
      <c r="C19" s="229"/>
      <c r="D19" s="237" t="str">
        <f>0!C105</f>
        <v>Çark</v>
      </c>
      <c r="E19" s="238" t="s">
        <v>84</v>
      </c>
      <c r="F19" s="743" t="s">
        <v>96</v>
      </c>
      <c r="G19" s="744" t="str">
        <f>F18</f>
        <v>sağ</v>
      </c>
      <c r="H19" s="745" t="str">
        <f>F19</f>
        <v>sol</v>
      </c>
      <c r="I19" s="1"/>
      <c r="J19" s="1"/>
      <c r="K19" s="317" t="s">
        <v>101</v>
      </c>
      <c r="L19" s="219" t="s">
        <v>102</v>
      </c>
      <c r="M19" s="220" t="s">
        <v>103</v>
      </c>
      <c r="N19" s="220"/>
      <c r="O19" s="5"/>
      <c r="P19" s="5"/>
      <c r="Q19" s="1"/>
      <c r="R19" s="1"/>
      <c r="S19" s="1"/>
      <c r="T19" s="1"/>
      <c r="U19" s="1">
        <v>40</v>
      </c>
      <c r="V19" s="1"/>
      <c r="W19" s="1"/>
      <c r="X19" s="1"/>
      <c r="Y19" s="1"/>
      <c r="Z19" s="1"/>
    </row>
    <row r="20" spans="1:26" s="182" customFormat="1" ht="13.5" customHeight="1">
      <c r="A20" s="188"/>
      <c r="B20" s="225" t="str">
        <f>0!C41</f>
        <v>Eksenler arası mesafe</v>
      </c>
      <c r="C20" s="224"/>
      <c r="D20" s="239" t="s">
        <v>14</v>
      </c>
      <c r="E20" s="240" t="s">
        <v>57</v>
      </c>
      <c r="F20" s="743">
        <v>91.92</v>
      </c>
      <c r="G20" s="744">
        <v>250</v>
      </c>
      <c r="H20" s="745">
        <v>315</v>
      </c>
      <c r="I20" s="1"/>
      <c r="J20" s="1"/>
      <c r="K20" s="391">
        <v>0.995</v>
      </c>
      <c r="L20" s="392">
        <v>0.995</v>
      </c>
      <c r="M20" s="393">
        <v>0.96</v>
      </c>
      <c r="N20" s="393"/>
      <c r="O20" s="5"/>
      <c r="P20" s="5"/>
      <c r="Q20" s="1"/>
      <c r="R20" s="1"/>
      <c r="S20" s="1"/>
      <c r="T20" s="1"/>
      <c r="U20" s="1">
        <v>50</v>
      </c>
      <c r="V20" s="1"/>
      <c r="W20" s="1"/>
      <c r="X20" s="1"/>
      <c r="Y20" s="1"/>
      <c r="Z20" s="1"/>
    </row>
    <row r="21" spans="1:26" ht="13.5" customHeight="1">
      <c r="A21" s="182"/>
      <c r="B21" s="183" t="str">
        <f>0!C52</f>
        <v>Referans profili </v>
      </c>
      <c r="C21" s="224"/>
      <c r="D21" s="237"/>
      <c r="E21" s="238"/>
      <c r="F21" s="731"/>
      <c r="G21" s="732" t="s">
        <v>45</v>
      </c>
      <c r="H21" s="733"/>
      <c r="I21" s="1"/>
      <c r="J21" s="1"/>
      <c r="K21" s="1"/>
      <c r="L21" s="1"/>
      <c r="M21" s="1"/>
      <c r="N21" s="1"/>
      <c r="O21" s="5"/>
      <c r="P21" s="5"/>
      <c r="Q21" s="1"/>
      <c r="R21" s="1"/>
      <c r="S21" s="1"/>
      <c r="T21" s="1"/>
      <c r="U21" s="1"/>
      <c r="V21" s="1"/>
      <c r="W21" s="1"/>
      <c r="X21" s="1"/>
      <c r="Y21" s="1"/>
      <c r="Z21" s="1"/>
    </row>
    <row r="22" spans="1:26" s="182" customFormat="1" ht="13.5" customHeight="1">
      <c r="A22" s="187"/>
      <c r="B22" s="226" t="str">
        <f>0!C70</f>
        <v>Dişli yanak kalitesi</v>
      </c>
      <c r="C22" s="184" t="s">
        <v>94</v>
      </c>
      <c r="D22" s="237" t="str">
        <f>0!C109</f>
        <v>Pinyon</v>
      </c>
      <c r="E22" s="244" t="s">
        <v>87</v>
      </c>
      <c r="F22" s="743">
        <v>6.3</v>
      </c>
      <c r="G22" s="744">
        <v>6.3</v>
      </c>
      <c r="H22" s="745">
        <v>6.3</v>
      </c>
      <c r="I22" s="1"/>
      <c r="J22" s="1"/>
      <c r="K22" s="840" t="str">
        <f>0!C130</f>
        <v>Dişli kalitesi</v>
      </c>
      <c r="L22" s="841"/>
      <c r="M22" s="842"/>
      <c r="N22" s="719" t="s">
        <v>3</v>
      </c>
      <c r="O22" s="394">
        <v>8</v>
      </c>
      <c r="P22" s="5"/>
      <c r="Q22" s="1"/>
      <c r="R22" s="1"/>
      <c r="S22" s="1"/>
      <c r="T22" s="1"/>
      <c r="U22" s="1"/>
      <c r="V22" s="1"/>
      <c r="W22" s="1"/>
      <c r="X22" s="1"/>
      <c r="Y22" s="1"/>
      <c r="Z22" s="1"/>
    </row>
    <row r="23" spans="1:26" s="182" customFormat="1" ht="13.5" customHeight="1">
      <c r="A23" s="188"/>
      <c r="B23" s="223"/>
      <c r="C23" s="213"/>
      <c r="D23" s="237" t="str">
        <f>0!C105</f>
        <v>Çark</v>
      </c>
      <c r="E23" s="244" t="s">
        <v>87</v>
      </c>
      <c r="F23" s="746">
        <v>6.3</v>
      </c>
      <c r="G23" s="744">
        <v>6.3</v>
      </c>
      <c r="H23" s="745">
        <v>6.3</v>
      </c>
      <c r="K23" s="1"/>
      <c r="L23" s="1"/>
      <c r="M23" s="1"/>
      <c r="N23" s="1"/>
      <c r="O23" s="5"/>
      <c r="P23" s="5"/>
      <c r="Q23" s="1"/>
      <c r="R23" s="1"/>
      <c r="S23" s="1"/>
      <c r="T23" s="1"/>
      <c r="U23" s="1"/>
      <c r="V23" s="1"/>
      <c r="W23" s="1"/>
      <c r="X23" s="1"/>
      <c r="Y23" s="1"/>
      <c r="Z23" s="1"/>
    </row>
    <row r="24" spans="1:26" s="182" customFormat="1" ht="13.5" customHeight="1">
      <c r="A24" s="188"/>
      <c r="B24" s="212" t="str">
        <f>0!C91</f>
        <v>Yükleme sayısı</v>
      </c>
      <c r="C24" s="224"/>
      <c r="D24" s="245" t="s">
        <v>59</v>
      </c>
      <c r="E24" s="240" t="s">
        <v>84</v>
      </c>
      <c r="F24" s="825">
        <v>3000000</v>
      </c>
      <c r="G24" s="864"/>
      <c r="H24" s="865"/>
      <c r="I24" s="1"/>
      <c r="K24" s="1"/>
      <c r="L24" s="1"/>
      <c r="M24" s="1"/>
      <c r="N24" s="1"/>
      <c r="O24" s="5"/>
      <c r="Q24" s="1"/>
      <c r="R24" s="1"/>
      <c r="S24" s="1"/>
      <c r="T24" s="1"/>
      <c r="U24" s="1"/>
      <c r="V24" s="1"/>
      <c r="W24" s="1"/>
      <c r="X24" s="1"/>
      <c r="Y24" s="1"/>
      <c r="Z24" s="1"/>
    </row>
    <row r="25" spans="1:26" s="182" customFormat="1" ht="13.5" customHeight="1">
      <c r="A25" s="188"/>
      <c r="B25" s="169" t="str">
        <f>0!C133</f>
        <v>Malzeme</v>
      </c>
      <c r="C25" s="185"/>
      <c r="D25" s="246" t="str">
        <f>0!C109</f>
        <v>Pinyon</v>
      </c>
      <c r="E25" s="240" t="s">
        <v>84</v>
      </c>
      <c r="F25" s="746" t="s">
        <v>47</v>
      </c>
      <c r="G25" s="747" t="s">
        <v>47</v>
      </c>
      <c r="H25" s="748" t="s">
        <v>47</v>
      </c>
      <c r="I25" s="1"/>
      <c r="J25" s="358"/>
      <c r="K25" s="358"/>
      <c r="L25" s="181"/>
      <c r="M25" s="181"/>
      <c r="Q25" s="1"/>
      <c r="R25" s="1"/>
      <c r="S25" s="1"/>
      <c r="T25" s="1"/>
      <c r="U25" s="1"/>
      <c r="V25" s="1"/>
      <c r="W25" s="1"/>
      <c r="X25" s="1"/>
      <c r="Y25" s="1"/>
      <c r="Z25" s="1"/>
    </row>
    <row r="26" spans="1:26" s="182" customFormat="1" ht="13.5" customHeight="1">
      <c r="A26" s="188"/>
      <c r="B26" s="227"/>
      <c r="C26" s="185"/>
      <c r="D26" s="246" t="str">
        <f>0!C105</f>
        <v>Çark</v>
      </c>
      <c r="E26" s="240" t="s">
        <v>84</v>
      </c>
      <c r="F26" s="746" t="s">
        <v>47</v>
      </c>
      <c r="G26" s="747" t="s">
        <v>47</v>
      </c>
      <c r="H26" s="748" t="s">
        <v>47</v>
      </c>
      <c r="I26" s="1"/>
      <c r="J26" s="388"/>
      <c r="O26" s="173"/>
      <c r="Q26" s="1"/>
      <c r="R26" s="1"/>
      <c r="S26" s="1"/>
      <c r="T26" s="1"/>
      <c r="U26" s="1"/>
      <c r="V26" s="1"/>
      <c r="W26" s="1"/>
      <c r="X26" s="1"/>
      <c r="Y26" s="1"/>
      <c r="Z26" s="1"/>
    </row>
    <row r="27" spans="1:26" ht="13.5" customHeight="1">
      <c r="A27" s="182"/>
      <c r="B27" s="231" t="str">
        <f>0!C62</f>
        <v>Elastiklik modülü</v>
      </c>
      <c r="C27" s="26" t="s">
        <v>97</v>
      </c>
      <c r="D27" s="246" t="str">
        <f>0!C109</f>
        <v>Pinyon</v>
      </c>
      <c r="E27" s="242" t="s">
        <v>52</v>
      </c>
      <c r="F27" s="746">
        <v>210000</v>
      </c>
      <c r="G27" s="747">
        <v>210000</v>
      </c>
      <c r="H27" s="748">
        <v>210000</v>
      </c>
      <c r="I27" s="1"/>
      <c r="J27" s="389"/>
      <c r="O27" s="182"/>
      <c r="Q27" s="1"/>
      <c r="R27" s="1"/>
      <c r="S27" s="1"/>
      <c r="T27" s="1"/>
      <c r="U27" s="1"/>
      <c r="V27" s="1"/>
      <c r="W27" s="1"/>
      <c r="X27" s="1"/>
      <c r="Y27" s="1"/>
      <c r="Z27" s="1"/>
    </row>
    <row r="28" spans="1:26" s="182" customFormat="1" ht="13.5" customHeight="1">
      <c r="A28" s="187"/>
      <c r="B28" s="209"/>
      <c r="C28" s="232"/>
      <c r="D28" s="246" t="str">
        <f>0!C105</f>
        <v>Çark</v>
      </c>
      <c r="E28" s="242" t="s">
        <v>52</v>
      </c>
      <c r="F28" s="746">
        <v>210000</v>
      </c>
      <c r="G28" s="747">
        <v>210000</v>
      </c>
      <c r="H28" s="748">
        <v>210000</v>
      </c>
      <c r="I28" s="1"/>
      <c r="J28" s="389"/>
      <c r="K28" s="17"/>
      <c r="L28" s="17"/>
      <c r="M28" s="17"/>
      <c r="N28" s="18"/>
      <c r="O28" s="18"/>
      <c r="Q28" s="1"/>
      <c r="R28" s="1"/>
      <c r="S28" s="1"/>
      <c r="T28" s="1"/>
      <c r="U28" s="1"/>
      <c r="V28" s="1"/>
      <c r="W28" s="1"/>
      <c r="X28" s="1"/>
      <c r="Y28" s="1"/>
      <c r="Z28" s="1"/>
    </row>
    <row r="29" spans="1:26" s="18" customFormat="1" ht="13.5" customHeight="1">
      <c r="A29" s="181"/>
      <c r="B29" s="221" t="str">
        <f>0!C100</f>
        <v>Poisson sayısı</v>
      </c>
      <c r="C29" s="24"/>
      <c r="D29" s="246" t="str">
        <f>0!C109</f>
        <v>Pinyon</v>
      </c>
      <c r="E29" s="240" t="s">
        <v>84</v>
      </c>
      <c r="F29" s="746">
        <v>0.3</v>
      </c>
      <c r="G29" s="747">
        <v>0.3</v>
      </c>
      <c r="H29" s="748">
        <v>0.3</v>
      </c>
      <c r="I29" s="1"/>
      <c r="J29" s="389"/>
      <c r="K29" s="17"/>
      <c r="L29" s="17"/>
      <c r="M29" s="17"/>
      <c r="Q29" s="1"/>
      <c r="R29" s="1"/>
      <c r="S29" s="1"/>
      <c r="T29" s="1"/>
      <c r="U29" s="1"/>
      <c r="V29" s="1"/>
      <c r="W29" s="1"/>
      <c r="X29" s="1"/>
      <c r="Y29" s="1"/>
      <c r="Z29" s="1"/>
    </row>
    <row r="30" spans="1:26" s="18" customFormat="1" ht="13.5" customHeight="1">
      <c r="A30" s="181"/>
      <c r="B30" s="221"/>
      <c r="C30" s="24"/>
      <c r="D30" s="246" t="str">
        <f>0!C105</f>
        <v>Çark</v>
      </c>
      <c r="E30" s="240" t="s">
        <v>84</v>
      </c>
      <c r="F30" s="746">
        <v>0.3</v>
      </c>
      <c r="G30" s="747">
        <v>0.3</v>
      </c>
      <c r="H30" s="748">
        <v>0.3</v>
      </c>
      <c r="I30" s="1"/>
      <c r="J30" s="389"/>
      <c r="K30" s="17"/>
      <c r="L30" s="17"/>
      <c r="M30" s="17"/>
      <c r="Q30" s="1"/>
      <c r="R30" s="1"/>
      <c r="S30" s="1"/>
      <c r="T30" s="1"/>
      <c r="U30" s="1"/>
      <c r="V30" s="1"/>
      <c r="W30" s="1"/>
      <c r="X30" s="1"/>
      <c r="Y30" s="1"/>
      <c r="Z30" s="1"/>
    </row>
    <row r="31" spans="1:26" s="18" customFormat="1" ht="13.5" customHeight="1">
      <c r="A31" s="181"/>
      <c r="B31" s="31" t="str">
        <f>0!C143</f>
        <v>Diş dibi mukavemeti</v>
      </c>
      <c r="C31" s="233" t="s">
        <v>67</v>
      </c>
      <c r="D31" s="246" t="str">
        <f>0!C109</f>
        <v>Pinyon</v>
      </c>
      <c r="E31" s="242" t="s">
        <v>52</v>
      </c>
      <c r="F31" s="746">
        <v>310</v>
      </c>
      <c r="G31" s="747">
        <v>310</v>
      </c>
      <c r="H31" s="748">
        <v>310</v>
      </c>
      <c r="I31" s="1"/>
      <c r="J31" s="389"/>
      <c r="K31" s="17"/>
      <c r="L31" s="17"/>
      <c r="Q31" s="1"/>
      <c r="R31" s="1"/>
      <c r="S31" s="1"/>
      <c r="T31" s="1"/>
      <c r="U31" s="1"/>
      <c r="V31" s="1"/>
      <c r="W31" s="1"/>
      <c r="X31" s="1"/>
      <c r="Y31" s="1"/>
      <c r="Z31" s="1"/>
    </row>
    <row r="32" spans="1:26" s="18" customFormat="1" ht="13.5" customHeight="1">
      <c r="A32" s="181"/>
      <c r="B32" s="234"/>
      <c r="C32" s="232"/>
      <c r="D32" s="246" t="str">
        <f>0!C105</f>
        <v>Çark</v>
      </c>
      <c r="E32" s="242" t="s">
        <v>52</v>
      </c>
      <c r="F32" s="746">
        <v>310</v>
      </c>
      <c r="G32" s="747">
        <v>310</v>
      </c>
      <c r="H32" s="748">
        <v>310</v>
      </c>
      <c r="I32" s="1"/>
      <c r="J32" s="389"/>
      <c r="K32" s="17"/>
      <c r="L32" s="17"/>
      <c r="Q32" s="1"/>
      <c r="R32" s="1"/>
      <c r="S32" s="1"/>
      <c r="T32" s="1"/>
      <c r="U32" s="1"/>
      <c r="V32" s="1"/>
      <c r="W32" s="1"/>
      <c r="X32" s="1"/>
      <c r="Y32" s="1"/>
      <c r="Z32" s="1"/>
    </row>
    <row r="33" spans="1:26" s="18" customFormat="1" ht="13.5" customHeight="1">
      <c r="A33" s="181"/>
      <c r="B33" s="31" t="str">
        <f>0!C142</f>
        <v>Diş yanak mukavemeti</v>
      </c>
      <c r="C33" s="233" t="s">
        <v>68</v>
      </c>
      <c r="D33" s="246" t="str">
        <f>0!C109</f>
        <v>Pinyon</v>
      </c>
      <c r="E33" s="242" t="s">
        <v>52</v>
      </c>
      <c r="F33" s="746">
        <v>1100</v>
      </c>
      <c r="G33" s="747">
        <v>1100</v>
      </c>
      <c r="H33" s="748">
        <v>1100</v>
      </c>
      <c r="I33" s="1"/>
      <c r="J33" s="389"/>
      <c r="K33" s="17"/>
      <c r="L33" s="17"/>
      <c r="Q33" s="1"/>
      <c r="R33" s="1"/>
      <c r="S33" s="1"/>
      <c r="T33" s="1"/>
      <c r="U33" s="1"/>
      <c r="V33" s="1"/>
      <c r="W33" s="1"/>
      <c r="X33" s="1"/>
      <c r="Y33" s="1"/>
      <c r="Z33" s="1"/>
    </row>
    <row r="34" spans="1:26" s="18" customFormat="1" ht="13.5" customHeight="1">
      <c r="A34" s="181"/>
      <c r="B34" s="234"/>
      <c r="C34" s="232"/>
      <c r="D34" s="246" t="str">
        <f>0!C105</f>
        <v>Çark</v>
      </c>
      <c r="E34" s="242" t="s">
        <v>52</v>
      </c>
      <c r="F34" s="746">
        <v>1100</v>
      </c>
      <c r="G34" s="747">
        <v>1100</v>
      </c>
      <c r="H34" s="748">
        <v>1100</v>
      </c>
      <c r="I34" s="1"/>
      <c r="J34" s="389"/>
      <c r="K34" s="17"/>
      <c r="L34" s="17"/>
      <c r="Q34" s="1"/>
      <c r="R34" s="1"/>
      <c r="S34" s="1"/>
      <c r="T34" s="1"/>
      <c r="U34" s="1"/>
      <c r="V34" s="1"/>
      <c r="W34" s="1"/>
      <c r="X34" s="1"/>
      <c r="Y34" s="1"/>
      <c r="Z34" s="1"/>
    </row>
    <row r="35" spans="1:26" s="18" customFormat="1" ht="13.5" customHeight="1">
      <c r="A35" s="181"/>
      <c r="B35" s="231" t="str">
        <f>0!C81</f>
        <v>Sertlik</v>
      </c>
      <c r="C35" s="26"/>
      <c r="D35" s="246" t="str">
        <f>0!C109</f>
        <v>Pinyon</v>
      </c>
      <c r="E35" s="242" t="s">
        <v>98</v>
      </c>
      <c r="F35" s="746">
        <v>525</v>
      </c>
      <c r="G35" s="747">
        <v>525</v>
      </c>
      <c r="H35" s="748">
        <v>525</v>
      </c>
      <c r="I35" s="1"/>
      <c r="J35" s="389"/>
      <c r="M35" s="1"/>
      <c r="Q35" s="1"/>
      <c r="R35" s="1"/>
      <c r="S35" s="1"/>
      <c r="T35" s="1"/>
      <c r="U35" s="1"/>
      <c r="V35" s="1"/>
      <c r="W35" s="1"/>
      <c r="X35" s="1"/>
      <c r="Y35" s="1"/>
      <c r="Z35" s="1"/>
    </row>
    <row r="36" spans="1:26" s="18" customFormat="1" ht="13.5" customHeight="1">
      <c r="A36" s="181"/>
      <c r="B36" s="209"/>
      <c r="C36" s="232"/>
      <c r="D36" s="246" t="str">
        <f>0!C105</f>
        <v>Çark</v>
      </c>
      <c r="E36" s="242" t="s">
        <v>98</v>
      </c>
      <c r="F36" s="746">
        <v>525</v>
      </c>
      <c r="G36" s="747">
        <v>525</v>
      </c>
      <c r="H36" s="748">
        <v>525</v>
      </c>
      <c r="I36" s="1"/>
      <c r="J36" s="389"/>
      <c r="M36" s="1"/>
      <c r="N36" s="1"/>
      <c r="O36" s="1"/>
      <c r="Q36" s="1"/>
      <c r="R36" s="1"/>
      <c r="S36" s="1"/>
      <c r="T36" s="1"/>
      <c r="U36" s="1"/>
      <c r="V36" s="1"/>
      <c r="W36" s="1"/>
      <c r="X36" s="1"/>
      <c r="Y36" s="1"/>
      <c r="Z36" s="1"/>
    </row>
    <row r="37" spans="1:26" s="18" customFormat="1" ht="13.5" customHeight="1">
      <c r="A37" s="181"/>
      <c r="B37" s="870" t="str">
        <f>0!C135</f>
        <v>Malzeme cinsi ve İşlemi</v>
      </c>
      <c r="C37" s="871"/>
      <c r="D37" s="872"/>
      <c r="E37" s="645"/>
      <c r="F37" s="836">
        <v>3</v>
      </c>
      <c r="G37" s="838">
        <v>3</v>
      </c>
      <c r="H37" s="830">
        <v>3</v>
      </c>
      <c r="I37" s="834" t="str">
        <f>IF(Info!I13&gt;2.5,"Please type the material number (1,2 or 3) and press enter.",IF(Info!I13&gt;1.5,"Hier geben Sie die entsprechende Nummer 1,2 oder 3 ein.",IF(Info!I13&gt;0.5,"Buraya yanda verilen numarayı veriniz 1,2 veya 3","")))</f>
        <v>Buraya yanda verilen numarayı veriniz 1,2 veya 3</v>
      </c>
      <c r="J37" s="835"/>
      <c r="K37" s="835"/>
      <c r="L37" s="644" t="str">
        <f>IF(Info!I13&gt;2.5,"1 - Cast iron (GG, GGG)",IF(Info!I13&gt;1.5,"1 - Gusseisen (GG, GGG)",IF(Info!I13&gt;0.5,"1 - Demir döküm (GG, GGG)","")))</f>
        <v>1 - Demir döküm (GG, GGG)</v>
      </c>
      <c r="M37" s="17"/>
      <c r="N37" s="1"/>
      <c r="O37" s="1"/>
      <c r="Q37" s="1"/>
      <c r="R37" s="1"/>
      <c r="S37" s="1"/>
      <c r="T37" s="1"/>
      <c r="U37" s="1"/>
      <c r="V37" s="1"/>
      <c r="W37" s="1"/>
      <c r="X37" s="1"/>
      <c r="Y37" s="1"/>
      <c r="Z37" s="1"/>
    </row>
    <row r="38" spans="1:26" s="18" customFormat="1" ht="13.5" customHeight="1">
      <c r="A38" s="181"/>
      <c r="B38" s="873"/>
      <c r="C38" s="874"/>
      <c r="D38" s="875"/>
      <c r="E38" s="646"/>
      <c r="F38" s="837"/>
      <c r="G38" s="829"/>
      <c r="H38" s="831"/>
      <c r="I38" s="834"/>
      <c r="J38" s="835"/>
      <c r="K38" s="835"/>
      <c r="L38" s="644" t="str">
        <f>IF(Info!I13&gt;2.5,"2 - All iron, (Rm&lt;800 N/mm2, St, GS)",IF(Info!I13&gt;1.5,"2 - Alle Stähle, (Rm&lt;800 N/mm2, St, GS)",IF(Info!I13&gt;0.5,"2 - Bütün çelikler, (Rm&lt;800 N/mm2, St, GS)","")))</f>
        <v>2 - Bütün çelikler, (Rm&lt;800 N/mm2, St, GS)</v>
      </c>
      <c r="M38" s="17"/>
      <c r="N38" s="1"/>
      <c r="O38" s="1"/>
      <c r="P38" s="1"/>
      <c r="Q38" s="1"/>
      <c r="R38" s="1"/>
      <c r="S38" s="1"/>
      <c r="T38" s="1"/>
      <c r="U38" s="1"/>
      <c r="V38" s="1"/>
      <c r="W38" s="1"/>
      <c r="X38" s="1"/>
      <c r="Y38" s="1"/>
      <c r="Z38" s="1"/>
    </row>
    <row r="39" spans="1:17" s="18" customFormat="1" ht="13.5" customHeight="1">
      <c r="A39" s="181"/>
      <c r="B39" s="231" t="str">
        <f>0!C67</f>
        <v>Gerekli Emniyet faktörü</v>
      </c>
      <c r="C39" s="26"/>
      <c r="D39" s="345" t="s">
        <v>158</v>
      </c>
      <c r="E39" s="240" t="s">
        <v>84</v>
      </c>
      <c r="F39" s="846">
        <f>'10'!G6</f>
        <v>1.4</v>
      </c>
      <c r="G39" s="847"/>
      <c r="H39" s="848"/>
      <c r="I39" s="834"/>
      <c r="J39" s="835"/>
      <c r="K39" s="835"/>
      <c r="L39" s="176" t="str">
        <f>IF(Info!I13&gt;2.5,"3 - All hardness iron, (Rm&gt;800 N/mm2)",IF(Info!I13&gt;1.5,"3 - Alle gehärtete Stähle, (Rm&gt;800 N/mm2)",IF(Info!I13&gt;0.5,"3 - Bütün sertleştirilmiş çelikler, (Rm&gt;800 N/mm2)","")))</f>
        <v>3 - Bütün sertleştirilmiş çelikler, (Rm&gt;800 N/mm2)</v>
      </c>
      <c r="M39" s="17"/>
      <c r="N39" s="1"/>
      <c r="O39" s="1"/>
      <c r="P39" s="1"/>
      <c r="Q39" s="1"/>
    </row>
    <row r="40" spans="1:17" s="18" customFormat="1" ht="13.5" customHeight="1">
      <c r="A40" s="181"/>
      <c r="B40" s="222"/>
      <c r="C40" s="100"/>
      <c r="D40" s="293" t="s">
        <v>159</v>
      </c>
      <c r="E40" s="347" t="s">
        <v>84</v>
      </c>
      <c r="F40" s="832">
        <f>'10'!G7</f>
        <v>0.8</v>
      </c>
      <c r="G40" s="833"/>
      <c r="H40" s="824"/>
      <c r="I40" s="1"/>
      <c r="J40" s="1"/>
      <c r="K40" s="1"/>
      <c r="L40" s="17"/>
      <c r="M40" s="1"/>
      <c r="N40" s="1"/>
      <c r="O40" s="1"/>
      <c r="P40" s="1"/>
      <c r="Q40" s="1"/>
    </row>
    <row r="41" spans="1:17" s="18" customFormat="1" ht="13.5" customHeight="1">
      <c r="A41" s="181"/>
      <c r="B41" s="176" t="str">
        <f>0!C57</f>
        <v>İndeks 1 li sembol pinyona, indeks 2 li sembol dişli çarka aittir.</v>
      </c>
      <c r="C41" s="173"/>
      <c r="D41" s="173"/>
      <c r="E41" s="173"/>
      <c r="F41" s="358"/>
      <c r="G41" s="390"/>
      <c r="H41" s="395"/>
      <c r="I41" s="396"/>
      <c r="J41" s="389"/>
      <c r="K41" s="17"/>
      <c r="L41" s="17"/>
      <c r="M41" s="1"/>
      <c r="N41" s="1"/>
      <c r="O41" s="1"/>
      <c r="P41" s="1"/>
      <c r="Q41" s="1"/>
    </row>
    <row r="42" spans="1:17" s="18" customFormat="1" ht="13.5" customHeight="1">
      <c r="A42" s="181"/>
      <c r="C42" s="173"/>
      <c r="D42" s="173"/>
      <c r="E42" s="173"/>
      <c r="F42" s="358"/>
      <c r="G42" s="390"/>
      <c r="H42" s="395"/>
      <c r="I42" s="397"/>
      <c r="J42" s="389"/>
      <c r="K42" s="17"/>
      <c r="L42" s="17"/>
      <c r="M42" s="1"/>
      <c r="N42" s="1"/>
      <c r="O42" s="1"/>
      <c r="P42" s="1"/>
      <c r="Q42" s="1"/>
    </row>
    <row r="43" spans="1:17" s="18" customFormat="1" ht="13.5" customHeight="1">
      <c r="A43" s="181"/>
      <c r="I43" s="358"/>
      <c r="J43" s="358"/>
      <c r="K43" s="358"/>
      <c r="L43" s="17"/>
      <c r="M43" s="1"/>
      <c r="N43" s="1"/>
      <c r="O43" s="1"/>
      <c r="P43" s="1"/>
      <c r="Q43" s="1"/>
    </row>
    <row r="44" spans="1:17" s="18" customFormat="1" ht="13.5" customHeight="1">
      <c r="A44" s="181"/>
      <c r="P44" s="1"/>
      <c r="Q44" s="1"/>
    </row>
    <row r="45" spans="1:17" ht="13.5" customHeight="1">
      <c r="A45" s="358"/>
      <c r="J45" s="358"/>
      <c r="K45" s="358"/>
      <c r="L45" s="358"/>
      <c r="M45" s="1"/>
      <c r="N45" s="1"/>
      <c r="O45" s="1"/>
      <c r="P45" s="1"/>
      <c r="Q45" s="1"/>
    </row>
    <row r="46" spans="1:17" ht="13.5" customHeight="1">
      <c r="A46" s="358"/>
      <c r="L46" s="358"/>
      <c r="M46" s="1"/>
      <c r="N46" s="1"/>
      <c r="O46" s="1"/>
      <c r="P46" s="1"/>
      <c r="Q46" s="1"/>
    </row>
    <row r="47" spans="3:12" ht="13.5" customHeight="1">
      <c r="C47" s="1"/>
      <c r="D47" s="1"/>
      <c r="E47" s="1"/>
      <c r="F47" s="1"/>
      <c r="G47" s="1"/>
      <c r="H47" s="1"/>
      <c r="I47" s="1"/>
      <c r="J47" s="1"/>
      <c r="K47" s="1"/>
      <c r="L47" s="5"/>
    </row>
    <row r="48" spans="3:12" ht="13.5" customHeight="1">
      <c r="C48" s="1"/>
      <c r="D48" s="1"/>
      <c r="E48" s="1"/>
      <c r="F48" s="1"/>
      <c r="G48" s="1"/>
      <c r="H48" s="1"/>
      <c r="I48" s="1"/>
      <c r="J48" s="1"/>
      <c r="K48" s="1"/>
      <c r="L48" s="5"/>
    </row>
    <row r="49" spans="3:12" ht="13.5" customHeight="1">
      <c r="C49" s="1"/>
      <c r="D49" s="1"/>
      <c r="E49" s="1"/>
      <c r="F49" s="1"/>
      <c r="G49" s="1"/>
      <c r="H49" s="1"/>
      <c r="I49" s="1"/>
      <c r="J49" s="1"/>
      <c r="K49" s="1"/>
      <c r="L49" s="5"/>
    </row>
    <row r="50" spans="3:12" ht="13.5" customHeight="1">
      <c r="C50" s="1"/>
      <c r="D50" s="1"/>
      <c r="E50" s="1"/>
      <c r="F50" s="1"/>
      <c r="G50" s="1"/>
      <c r="H50" s="1"/>
      <c r="I50" s="1"/>
      <c r="J50" s="1"/>
      <c r="K50" s="1"/>
      <c r="L50" s="5"/>
    </row>
    <row r="51" spans="3:12" ht="18" customHeight="1">
      <c r="C51" s="1"/>
      <c r="D51" s="1"/>
      <c r="E51" s="1"/>
      <c r="F51" s="1"/>
      <c r="G51" s="1"/>
      <c r="H51" s="1"/>
      <c r="I51" s="1"/>
      <c r="J51" s="1"/>
      <c r="K51" s="1"/>
      <c r="L51" s="5"/>
    </row>
    <row r="52" spans="3:12" ht="18" customHeight="1">
      <c r="C52" s="1"/>
      <c r="D52" s="1"/>
      <c r="E52" s="1"/>
      <c r="F52" s="1"/>
      <c r="G52" s="1"/>
      <c r="H52" s="1"/>
      <c r="I52" s="1"/>
      <c r="J52" s="1"/>
      <c r="K52" s="1"/>
      <c r="L52" s="5"/>
    </row>
    <row r="53" spans="3:12" ht="18" customHeight="1">
      <c r="C53" s="1"/>
      <c r="D53" s="1"/>
      <c r="E53" s="1"/>
      <c r="F53" s="1"/>
      <c r="G53" s="1"/>
      <c r="H53" s="1"/>
      <c r="I53" s="1"/>
      <c r="J53" s="1"/>
      <c r="K53" s="1"/>
      <c r="L53" s="5"/>
    </row>
    <row r="54" spans="4:12" ht="18" customHeight="1">
      <c r="D54" s="5"/>
      <c r="E54" s="1"/>
      <c r="F54" s="1"/>
      <c r="G54" s="1"/>
      <c r="H54" s="1"/>
      <c r="I54" s="1"/>
      <c r="J54" s="1"/>
      <c r="K54" s="1"/>
      <c r="L54" s="5"/>
    </row>
    <row r="55" spans="3:17" ht="15" customHeight="1">
      <c r="C55" s="5"/>
      <c r="D55" s="5"/>
      <c r="E55" s="5"/>
      <c r="F55" s="5"/>
      <c r="G55" s="5"/>
      <c r="H55" s="5"/>
      <c r="I55" s="5"/>
      <c r="J55" s="5"/>
      <c r="K55" s="5"/>
      <c r="L55" s="5"/>
      <c r="M55" s="5"/>
      <c r="N55" s="5"/>
      <c r="O55" s="5"/>
      <c r="P55" s="5"/>
      <c r="Q55" s="5"/>
    </row>
    <row r="58" ht="15" customHeight="1">
      <c r="H58" s="5"/>
    </row>
    <row r="59" spans="9:10" ht="15" customHeight="1">
      <c r="I59" s="5"/>
      <c r="J59" s="5"/>
    </row>
    <row r="60" spans="7:10" ht="15" customHeight="1">
      <c r="G60" s="1"/>
      <c r="H60" s="1"/>
      <c r="I60" s="5"/>
      <c r="J60" s="5"/>
    </row>
    <row r="61" spans="7:10" ht="15" customHeight="1">
      <c r="G61" s="5"/>
      <c r="H61" s="5"/>
      <c r="I61" s="5"/>
      <c r="J61" s="5"/>
    </row>
  </sheetData>
  <sheetProtection password="EF77" sheet="1" objects="1" scenarios="1"/>
  <mergeCells count="12">
    <mergeCell ref="F40:H40"/>
    <mergeCell ref="F24:H24"/>
    <mergeCell ref="F14:H14"/>
    <mergeCell ref="C3:E3"/>
    <mergeCell ref="B37:D38"/>
    <mergeCell ref="K22:M22"/>
    <mergeCell ref="F9:H9"/>
    <mergeCell ref="F39:H39"/>
    <mergeCell ref="I37:K39"/>
    <mergeCell ref="F37:F38"/>
    <mergeCell ref="G37:G38"/>
    <mergeCell ref="H37:H38"/>
  </mergeCells>
  <dataValidations count="1">
    <dataValidation type="list" allowBlank="1" showInputMessage="1" showErrorMessage="1" sqref="D9">
      <formula1>$U$19:$U$20</formula1>
    </dataValidation>
  </dataValidation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1"/>
  <headerFooter alignWithMargins="0">
    <oddFooter>&amp;L&amp;F / &amp;A / &amp;D&amp;R Seite &amp;P von &amp;N</oddFooter>
  </headerFooter>
  <ignoredErrors>
    <ignoredError sqref="G18:G19 F6 G6:H6 G8:H8 F39:F40 H18:H19" unlockedFormula="1"/>
    <ignoredError sqref="D31:D36 D26:D27 D28:D30" formula="1"/>
  </ignoredErrors>
</worksheet>
</file>

<file path=xl/worksheets/sheet4.xml><?xml version="1.0" encoding="utf-8"?>
<worksheet xmlns="http://schemas.openxmlformats.org/spreadsheetml/2006/main" xmlns:r="http://schemas.openxmlformats.org/officeDocument/2006/relationships">
  <sheetPr codeName="Tabelle4"/>
  <dimension ref="A1:R42"/>
  <sheetViews>
    <sheetView showGridLines="0" showRowColHeaders="0" zoomScale="90" zoomScaleNormal="90" workbookViewId="0" topLeftCell="A1">
      <selection activeCell="F11" sqref="F11"/>
    </sheetView>
  </sheetViews>
  <sheetFormatPr defaultColWidth="11.421875" defaultRowHeight="15" customHeight="1"/>
  <cols>
    <col min="1" max="1" width="2.7109375" style="150" customWidth="1"/>
    <col min="2" max="2" width="25.7109375" style="150" customWidth="1"/>
    <col min="3" max="3" width="8.7109375" style="150" customWidth="1"/>
    <col min="4" max="6" width="12.7109375" style="150" customWidth="1"/>
    <col min="7" max="15" width="9.7109375" style="150" customWidth="1"/>
    <col min="16" max="16" width="2.8515625" style="150" customWidth="1"/>
    <col min="17" max="18" width="12.7109375" style="150" customWidth="1"/>
    <col min="19" max="21" width="10.7109375" style="150" customWidth="1"/>
    <col min="22" max="16384" width="11.421875" style="150" customWidth="1"/>
  </cols>
  <sheetData>
    <row r="1" spans="1:18" ht="13.5" customHeight="1">
      <c r="A1" s="147"/>
      <c r="B1" s="120" t="str">
        <f>1!B1</f>
        <v>Proje :</v>
      </c>
      <c r="C1" s="6" t="str">
        <f>1!C1</f>
        <v>Takım tezgahı</v>
      </c>
      <c r="D1" s="149"/>
      <c r="E1" s="149"/>
      <c r="F1" s="149"/>
      <c r="G1" s="1"/>
      <c r="H1" s="766" t="str">
        <f>Info!B11</f>
        <v>www.guven-kutay.ch</v>
      </c>
      <c r="I1" s="22"/>
      <c r="J1" s="22"/>
      <c r="N1" s="433" t="str">
        <f>Info!N11</f>
        <v>Copyright : M. G. Kutay , Ver 10.02</v>
      </c>
      <c r="O1" s="122"/>
      <c r="P1" s="122"/>
      <c r="Q1" s="101"/>
      <c r="R1" s="101"/>
    </row>
    <row r="2" spans="1:18" ht="7.5" customHeight="1">
      <c r="A2" s="147"/>
      <c r="B2" s="120"/>
      <c r="C2" s="1"/>
      <c r="D2" s="1"/>
      <c r="E2" s="1"/>
      <c r="F2" s="1"/>
      <c r="G2" s="1"/>
      <c r="H2" s="459"/>
      <c r="I2" s="22"/>
      <c r="J2" s="22"/>
      <c r="N2" s="433"/>
      <c r="O2" s="122"/>
      <c r="P2" s="122"/>
      <c r="Q2" s="101"/>
      <c r="R2" s="101"/>
    </row>
    <row r="3" spans="1:18" ht="13.5" customHeight="1">
      <c r="A3" s="147"/>
      <c r="B3" s="178" t="str">
        <f>0!X35</f>
        <v>2.  1. Kademenin geometrik ölçüleri </v>
      </c>
      <c r="C3" s="1"/>
      <c r="D3" s="1"/>
      <c r="E3" s="1"/>
      <c r="F3" s="1"/>
      <c r="G3" s="1"/>
      <c r="H3" s="22"/>
      <c r="I3" s="22"/>
      <c r="J3" s="22"/>
      <c r="O3" s="122"/>
      <c r="P3" s="122"/>
      <c r="Q3" s="101"/>
      <c r="R3" s="101"/>
    </row>
    <row r="4" spans="1:18" ht="7.5" customHeight="1">
      <c r="A4" s="147"/>
      <c r="B4" s="178"/>
      <c r="C4" s="1"/>
      <c r="D4" s="1"/>
      <c r="E4" s="1"/>
      <c r="F4" s="1"/>
      <c r="G4" s="1"/>
      <c r="H4" s="22"/>
      <c r="I4" s="22"/>
      <c r="J4" s="22"/>
      <c r="O4" s="122"/>
      <c r="P4" s="122"/>
      <c r="Q4" s="101"/>
      <c r="R4" s="101"/>
    </row>
    <row r="5" spans="1:18" ht="13.5" customHeight="1">
      <c r="A5" s="147"/>
      <c r="B5" s="461" t="str">
        <f>1!B3</f>
        <v>1. Temel değerler</v>
      </c>
      <c r="C5" s="462"/>
      <c r="D5" s="463" t="str">
        <f>0!C109</f>
        <v>Pinyon</v>
      </c>
      <c r="E5" s="464" t="str">
        <f>0!C105</f>
        <v>Çark</v>
      </c>
      <c r="F5" s="460"/>
      <c r="I5" s="101"/>
      <c r="J5" s="1"/>
      <c r="K5" s="1"/>
      <c r="L5" s="1"/>
      <c r="M5" s="1"/>
      <c r="N5" s="1"/>
      <c r="O5" s="1"/>
      <c r="P5" s="1"/>
      <c r="Q5" s="1"/>
      <c r="R5" s="1"/>
    </row>
    <row r="6" spans="1:18" ht="13.5" customHeight="1">
      <c r="A6" s="147"/>
      <c r="B6" s="36" t="str">
        <f>0!C140</f>
        <v>Diş sayısı</v>
      </c>
      <c r="C6" s="37" t="s">
        <v>61</v>
      </c>
      <c r="D6" s="38">
        <f>1!F11</f>
        <v>12</v>
      </c>
      <c r="E6" s="39">
        <f>1!F12</f>
        <v>48</v>
      </c>
      <c r="G6" s="1"/>
      <c r="H6" s="1"/>
      <c r="I6" s="1"/>
      <c r="J6" s="1"/>
      <c r="K6" s="1"/>
      <c r="L6" s="1"/>
      <c r="M6" s="1"/>
      <c r="N6" s="1"/>
      <c r="O6" s="1"/>
      <c r="P6" s="1"/>
      <c r="Q6" s="1"/>
      <c r="R6" s="1"/>
    </row>
    <row r="7" spans="1:18" ht="13.5" customHeight="1">
      <c r="A7" s="147"/>
      <c r="B7" s="40" t="str">
        <f>0!C94</f>
        <v>Modül</v>
      </c>
      <c r="C7" s="41" t="s">
        <v>4</v>
      </c>
      <c r="D7" s="42">
        <f>1!F13</f>
        <v>3</v>
      </c>
      <c r="E7" s="43"/>
      <c r="G7" s="1"/>
      <c r="H7" s="1"/>
      <c r="I7" s="1"/>
      <c r="J7" s="1"/>
      <c r="K7" s="1"/>
      <c r="L7" s="1"/>
      <c r="M7" s="1"/>
      <c r="N7" s="1"/>
      <c r="O7" s="1"/>
      <c r="P7" s="1"/>
      <c r="Q7" s="1"/>
      <c r="R7" s="1"/>
    </row>
    <row r="8" spans="1:18" ht="13.5" customHeight="1">
      <c r="A8" s="147"/>
      <c r="B8" s="40" t="str">
        <f>0!C64</f>
        <v>Kavrama açısı</v>
      </c>
      <c r="C8" s="174" t="s">
        <v>62</v>
      </c>
      <c r="D8" s="876">
        <f>1!F14</f>
        <v>20</v>
      </c>
      <c r="E8" s="877"/>
      <c r="G8" s="1"/>
      <c r="H8" s="1"/>
      <c r="I8" s="1"/>
      <c r="J8" s="1"/>
      <c r="K8" s="1"/>
      <c r="L8" s="1"/>
      <c r="M8" s="1"/>
      <c r="N8" s="1"/>
      <c r="P8" s="1"/>
      <c r="Q8" s="1"/>
      <c r="R8" s="1"/>
    </row>
    <row r="9" spans="1:18" ht="13.5" customHeight="1">
      <c r="A9" s="147"/>
      <c r="B9" s="40" t="str">
        <f>0!C138</f>
        <v>Diş genişliği</v>
      </c>
      <c r="C9" s="41" t="s">
        <v>63</v>
      </c>
      <c r="D9" s="45">
        <f>1!F15</f>
        <v>65</v>
      </c>
      <c r="E9" s="46">
        <f>1!F16</f>
        <v>60</v>
      </c>
      <c r="G9" s="1"/>
      <c r="H9" s="1"/>
      <c r="I9" s="1"/>
      <c r="J9" s="1"/>
      <c r="K9" s="1"/>
      <c r="L9" s="1"/>
      <c r="M9" s="1"/>
      <c r="N9" s="1"/>
      <c r="O9" s="1"/>
      <c r="P9" s="1"/>
      <c r="Q9" s="1"/>
      <c r="R9" s="1"/>
    </row>
    <row r="10" spans="1:18" ht="13.5" customHeight="1">
      <c r="A10" s="147"/>
      <c r="B10" s="40" t="str">
        <f>0!C113</f>
        <v>Helis açısı</v>
      </c>
      <c r="C10" s="41" t="s">
        <v>5</v>
      </c>
      <c r="D10" s="47">
        <f>1!F17</f>
        <v>19.7246</v>
      </c>
      <c r="E10" s="48"/>
      <c r="G10" s="1"/>
      <c r="H10" s="1"/>
      <c r="I10" s="1"/>
      <c r="J10" s="1"/>
      <c r="K10" s="1"/>
      <c r="L10" s="1"/>
      <c r="M10" s="1"/>
      <c r="N10" s="1"/>
      <c r="O10" s="1"/>
      <c r="P10" s="1"/>
      <c r="Q10" s="1"/>
      <c r="R10" s="1"/>
    </row>
    <row r="11" spans="1:18" ht="13.5" customHeight="1">
      <c r="A11" s="147"/>
      <c r="B11" s="40" t="str">
        <f>0!C72</f>
        <v>Helis yönü</v>
      </c>
      <c r="C11" s="49" t="s">
        <v>6</v>
      </c>
      <c r="D11" s="50" t="str">
        <f>1!F18</f>
        <v>sağ</v>
      </c>
      <c r="E11" s="51" t="str">
        <f>1!F19</f>
        <v>sol</v>
      </c>
      <c r="G11" s="1"/>
      <c r="H11" s="1"/>
      <c r="I11" s="1"/>
      <c r="J11" s="1"/>
      <c r="K11" s="1"/>
      <c r="L11" s="1"/>
      <c r="M11" s="1"/>
      <c r="N11" s="1"/>
      <c r="O11" s="1"/>
      <c r="P11" s="1"/>
      <c r="Q11" s="1"/>
      <c r="R11" s="1"/>
    </row>
    <row r="12" spans="1:18" ht="13.5" customHeight="1">
      <c r="A12" s="147"/>
      <c r="B12" s="52" t="str">
        <f>0!C41</f>
        <v>Eksenler arası mesafe</v>
      </c>
      <c r="C12" s="41" t="s">
        <v>7</v>
      </c>
      <c r="D12" s="853">
        <f>1!F20</f>
        <v>91.92</v>
      </c>
      <c r="E12" s="44"/>
      <c r="G12" s="1"/>
      <c r="H12" s="1"/>
      <c r="I12" s="1"/>
      <c r="J12" s="1"/>
      <c r="K12" s="1"/>
      <c r="L12" s="1"/>
      <c r="M12" s="1"/>
      <c r="N12" s="1"/>
      <c r="O12" s="1"/>
      <c r="P12" s="1"/>
      <c r="Q12" s="1"/>
      <c r="R12" s="1"/>
    </row>
    <row r="13" spans="1:18" ht="13.5" customHeight="1">
      <c r="A13" s="147"/>
      <c r="B13" s="193" t="str">
        <f>0!C42</f>
        <v>Eksenler arası toleransı</v>
      </c>
      <c r="C13" s="299" t="s">
        <v>132</v>
      </c>
      <c r="D13" s="53">
        <f>9!F21</f>
        <v>0.0145</v>
      </c>
      <c r="E13" s="44"/>
      <c r="G13" s="1"/>
      <c r="H13" s="1"/>
      <c r="I13" s="1"/>
      <c r="J13" s="1"/>
      <c r="K13" s="1"/>
      <c r="L13" s="1"/>
      <c r="M13" s="1"/>
      <c r="N13" s="1"/>
      <c r="O13" s="1"/>
      <c r="P13" s="1"/>
      <c r="Q13" s="1"/>
      <c r="R13" s="1"/>
    </row>
    <row r="14" spans="1:18" ht="13.5" customHeight="1">
      <c r="A14" s="147"/>
      <c r="B14" s="54" t="str">
        <f>0!C130</f>
        <v>Dişli kalitesi</v>
      </c>
      <c r="C14" s="32"/>
      <c r="D14" s="55" t="s">
        <v>3</v>
      </c>
      <c r="E14" s="56">
        <f>1!O22</f>
        <v>8</v>
      </c>
      <c r="G14" s="1"/>
      <c r="H14" s="1"/>
      <c r="I14" s="1"/>
      <c r="J14" s="1"/>
      <c r="K14" s="1"/>
      <c r="L14" s="1"/>
      <c r="M14" s="1"/>
      <c r="N14" s="1"/>
      <c r="O14" s="1"/>
      <c r="P14" s="1"/>
      <c r="Q14" s="1"/>
      <c r="R14" s="1"/>
    </row>
    <row r="15" spans="1:18" ht="13.5" customHeight="1">
      <c r="A15" s="147"/>
      <c r="B15" s="31" t="str">
        <f>0!C70</f>
        <v>Dişli yanak kalitesi</v>
      </c>
      <c r="C15" s="49" t="s">
        <v>69</v>
      </c>
      <c r="D15" s="57">
        <f>1!F22</f>
        <v>6.3</v>
      </c>
      <c r="E15" s="58">
        <f>1!F23</f>
        <v>6.3</v>
      </c>
      <c r="G15" s="1"/>
      <c r="H15" s="1"/>
      <c r="I15" s="1"/>
      <c r="J15" s="1"/>
      <c r="K15" s="1"/>
      <c r="L15" s="1"/>
      <c r="M15" s="1"/>
      <c r="N15" s="1"/>
      <c r="O15" s="1"/>
      <c r="P15" s="1"/>
      <c r="Q15" s="1"/>
      <c r="R15" s="1"/>
    </row>
    <row r="16" spans="1:18" ht="13.5" customHeight="1">
      <c r="A16" s="147"/>
      <c r="B16" s="59" t="str">
        <f>0!C91</f>
        <v>Yükleme sayısı</v>
      </c>
      <c r="C16" s="60" t="s">
        <v>59</v>
      </c>
      <c r="D16" s="61">
        <f>1!F24</f>
        <v>3000000</v>
      </c>
      <c r="E16" s="62"/>
      <c r="G16" s="1"/>
      <c r="H16" s="1"/>
      <c r="I16" s="1"/>
      <c r="J16" s="1"/>
      <c r="K16" s="1"/>
      <c r="L16" s="1"/>
      <c r="M16" s="1"/>
      <c r="N16" s="1"/>
      <c r="O16" s="1"/>
      <c r="P16" s="1"/>
      <c r="Q16" s="1"/>
      <c r="R16" s="1"/>
    </row>
    <row r="17" spans="1:18" ht="13.5" customHeight="1">
      <c r="A17" s="147"/>
      <c r="B17" s="465" t="str">
        <f>0!C73</f>
        <v>Geometri</v>
      </c>
      <c r="C17" s="18"/>
      <c r="D17" s="1"/>
      <c r="E17" s="1"/>
      <c r="G17" s="1"/>
      <c r="H17" s="1"/>
      <c r="I17" s="1"/>
      <c r="J17" s="1"/>
      <c r="K17" s="1"/>
      <c r="L17" s="1"/>
      <c r="M17" s="1"/>
      <c r="N17" s="1"/>
      <c r="O17" s="1"/>
      <c r="P17" s="1"/>
      <c r="Q17" s="1"/>
      <c r="R17" s="1"/>
    </row>
    <row r="18" spans="1:18" ht="13.5" customHeight="1">
      <c r="A18" s="147"/>
      <c r="B18" s="36" t="str">
        <f>0!C118</f>
        <v>Alın modülü</v>
      </c>
      <c r="C18" s="273" t="s">
        <v>130</v>
      </c>
      <c r="D18" s="325">
        <f>D7/COS(PI()*D10/180)</f>
        <v>3.186994594538164</v>
      </c>
      <c r="E18" s="63"/>
      <c r="F18" s="248"/>
      <c r="G18" s="1"/>
      <c r="H18" s="1"/>
      <c r="I18" s="1"/>
      <c r="J18" s="1"/>
      <c r="K18" s="1"/>
      <c r="L18" s="1"/>
      <c r="M18" s="1"/>
      <c r="N18" s="1"/>
      <c r="O18" s="1"/>
      <c r="P18" s="1"/>
      <c r="Q18" s="1"/>
      <c r="R18" s="1"/>
    </row>
    <row r="19" spans="1:18" ht="13.5" customHeight="1">
      <c r="A19" s="147"/>
      <c r="B19" s="40" t="str">
        <f>0!C119</f>
        <v>Alın kavrama açısı</v>
      </c>
      <c r="C19" s="274" t="s">
        <v>129</v>
      </c>
      <c r="D19" s="64">
        <f>ATAN(TAN(PI()*D8/180)/COS(PI()*D10/180))*180/PI()</f>
        <v>21.139345796412922</v>
      </c>
      <c r="E19" s="65"/>
      <c r="F19" s="248"/>
      <c r="G19" s="1"/>
      <c r="H19" s="1"/>
      <c r="I19" s="1"/>
      <c r="J19" s="1"/>
      <c r="K19" s="1"/>
      <c r="L19" s="1"/>
      <c r="M19" s="1"/>
      <c r="N19" s="1"/>
      <c r="O19" s="1"/>
      <c r="P19" s="1"/>
      <c r="Q19" s="1"/>
      <c r="R19" s="1"/>
    </row>
    <row r="20" spans="1:18" ht="13.5" customHeight="1">
      <c r="A20" s="147"/>
      <c r="B20" s="40" t="str">
        <f>0!C95</f>
        <v>Kaydırmasız eksenler arası</v>
      </c>
      <c r="C20" s="275" t="s">
        <v>128</v>
      </c>
      <c r="D20" s="71">
        <f>D18*(D6+E6)/2</f>
        <v>95.60983783614492</v>
      </c>
      <c r="E20" s="65"/>
      <c r="F20" s="248"/>
      <c r="G20" s="1"/>
      <c r="H20" s="1"/>
      <c r="I20" s="1"/>
      <c r="J20" s="1"/>
      <c r="K20" s="1"/>
      <c r="L20" s="1"/>
      <c r="M20" s="1"/>
      <c r="N20" s="1"/>
      <c r="O20" s="1"/>
      <c r="P20" s="1"/>
      <c r="Q20" s="1"/>
      <c r="R20" s="1"/>
    </row>
    <row r="21" spans="1:18" ht="13.5" customHeight="1">
      <c r="A21" s="147"/>
      <c r="B21" s="40" t="str">
        <f>0!C51</f>
        <v>İşletmede kavrama açısı</v>
      </c>
      <c r="C21" s="274" t="s">
        <v>127</v>
      </c>
      <c r="D21" s="64">
        <f>ACOS(D20*COS(PI()*D19/180)/D12)*180/PI()</f>
        <v>14.035265878251776</v>
      </c>
      <c r="E21" s="65"/>
      <c r="F21" s="248"/>
      <c r="G21" s="1"/>
      <c r="H21" s="1"/>
      <c r="I21" s="1"/>
      <c r="J21" s="1"/>
      <c r="K21" s="1"/>
      <c r="L21" s="1"/>
      <c r="M21" s="1"/>
      <c r="N21" s="1"/>
      <c r="O21" s="1"/>
      <c r="P21" s="1"/>
      <c r="Q21" s="1"/>
      <c r="R21" s="1"/>
    </row>
    <row r="22" spans="1:18" ht="13.5" customHeight="1">
      <c r="A22" s="147"/>
      <c r="B22" s="54" t="str">
        <f>0!C68</f>
        <v>Evolvent fonksiyonu</v>
      </c>
      <c r="C22" s="269" t="s">
        <v>126</v>
      </c>
      <c r="D22" s="67">
        <f>TAN(PI()*D19/180)-D19*PI()/180</f>
        <v>0.0177058705280303</v>
      </c>
      <c r="E22" s="68"/>
      <c r="F22" s="248"/>
      <c r="G22" s="1"/>
      <c r="H22" s="1"/>
      <c r="I22" s="1"/>
      <c r="J22" s="1"/>
      <c r="K22" s="1"/>
      <c r="L22" s="1"/>
      <c r="M22" s="1"/>
      <c r="N22" s="1"/>
      <c r="O22" s="1"/>
      <c r="P22" s="1"/>
      <c r="Q22" s="1"/>
      <c r="R22" s="1"/>
    </row>
    <row r="23" spans="1:18" ht="13.5" customHeight="1">
      <c r="A23" s="147"/>
      <c r="B23" s="54" t="str">
        <f>0!C68</f>
        <v>Evolvent fonksiyonu</v>
      </c>
      <c r="C23" s="270" t="s">
        <v>125</v>
      </c>
      <c r="D23" s="67">
        <f>TAN(PI()*D21/180)-D21*PI()/180</f>
        <v>0.00502027056555196</v>
      </c>
      <c r="E23" s="68"/>
      <c r="F23" s="248"/>
      <c r="G23" s="1"/>
      <c r="H23" s="1"/>
      <c r="I23" s="1"/>
      <c r="J23" s="1"/>
      <c r="K23" s="1"/>
      <c r="L23" s="1"/>
      <c r="M23" s="1"/>
      <c r="N23" s="1"/>
      <c r="O23" s="1"/>
      <c r="P23" s="1"/>
      <c r="Q23" s="1"/>
      <c r="R23" s="1"/>
    </row>
    <row r="24" spans="1:18" ht="13.5" customHeight="1">
      <c r="A24" s="147"/>
      <c r="B24" s="54" t="str">
        <f>0!C103</f>
        <v>Toplam profil kaydırması</v>
      </c>
      <c r="C24" s="269" t="s">
        <v>124</v>
      </c>
      <c r="D24" s="67">
        <f>(D6+E6)*(D23-D22)/(2*TAN(PI()*D8/180))</f>
        <v>-1.0456019834743093</v>
      </c>
      <c r="E24" s="68"/>
      <c r="F24" s="248"/>
      <c r="G24" s="1"/>
      <c r="H24" s="1"/>
      <c r="I24" s="1"/>
      <c r="J24" s="1"/>
      <c r="K24" s="1"/>
      <c r="L24" s="1"/>
      <c r="M24" s="1"/>
      <c r="N24" s="1"/>
      <c r="O24" s="1"/>
      <c r="P24" s="1"/>
      <c r="Q24" s="1"/>
      <c r="R24" s="1"/>
    </row>
    <row r="25" spans="1:18" ht="13.5" customHeight="1">
      <c r="A25" s="147"/>
      <c r="B25" s="54" t="str">
        <f>0!C86</f>
        <v>Dış çap düzeltmesi</v>
      </c>
      <c r="C25" s="270" t="s">
        <v>123</v>
      </c>
      <c r="D25" s="66">
        <f>D20+D24*D7-D12</f>
        <v>0.5530318857219925</v>
      </c>
      <c r="E25" s="68"/>
      <c r="F25" s="248"/>
      <c r="G25" s="1"/>
      <c r="H25" s="1"/>
      <c r="I25" s="1"/>
      <c r="J25" s="1"/>
      <c r="K25" s="1"/>
      <c r="L25" s="1"/>
      <c r="M25" s="1"/>
      <c r="N25" s="1"/>
      <c r="O25" s="1"/>
      <c r="P25" s="1"/>
      <c r="Q25" s="1"/>
      <c r="R25" s="1"/>
    </row>
    <row r="26" spans="1:18" ht="13.5" customHeight="1">
      <c r="A26" s="147"/>
      <c r="B26" s="54" t="str">
        <f>0!C80</f>
        <v>Temel helis açısı</v>
      </c>
      <c r="C26" s="274" t="s">
        <v>122</v>
      </c>
      <c r="D26" s="64">
        <f>180*ASIN(SIN(PI()*D10/180)*COS(PI()*D8/180))/PI()</f>
        <v>18.490398950192272</v>
      </c>
      <c r="E26" s="68"/>
      <c r="F26" s="248"/>
      <c r="G26" s="1"/>
      <c r="H26" s="1"/>
      <c r="I26" s="1"/>
      <c r="J26" s="1"/>
      <c r="K26" s="1"/>
      <c r="L26" s="1"/>
      <c r="M26" s="1"/>
      <c r="N26" s="1"/>
      <c r="O26" s="1"/>
      <c r="P26" s="1"/>
      <c r="Q26" s="1"/>
      <c r="R26" s="1"/>
    </row>
    <row r="27" spans="1:18" ht="13.5" customHeight="1">
      <c r="A27" s="147"/>
      <c r="B27" s="40" t="str">
        <f>0!C127</f>
        <v>Eşdeğer diş sayısı</v>
      </c>
      <c r="C27" s="269" t="s">
        <v>121</v>
      </c>
      <c r="D27" s="69">
        <f>D6/(COS(PI()*D26/180))^2/COS(PI()*D10/180)</f>
        <v>14.173576886309293</v>
      </c>
      <c r="E27" s="70">
        <f>E6/(COS(PI()*D26/180))^2/COS(PI()*D10/180)</f>
        <v>56.69430754523717</v>
      </c>
      <c r="F27" s="248"/>
      <c r="G27" s="1"/>
      <c r="H27" s="1"/>
      <c r="I27" s="1"/>
      <c r="J27" s="1"/>
      <c r="K27" s="1"/>
      <c r="L27" s="1"/>
      <c r="M27" s="1"/>
      <c r="N27" s="1"/>
      <c r="O27" s="1"/>
      <c r="P27" s="1"/>
      <c r="Q27" s="1"/>
      <c r="R27" s="1"/>
    </row>
    <row r="28" spans="1:18" ht="13.5" customHeight="1">
      <c r="A28" s="147"/>
      <c r="B28" s="298" t="str">
        <f>0!C102</f>
        <v>Profil kaydırması, teklif</v>
      </c>
      <c r="C28" s="299"/>
      <c r="D28" s="152">
        <f>IF(($D$24/2+(0.5-$D$24/2)*LOG10($E$6/$D$6)/(LOG10($D$27*$E$27/100)))*10-INT(($D$24/2+(0.5-$D$24/2)*LOG10($E$6/$D$6)/(LOG10($D$27*$E$27/100)))*10)&gt;0.5,FLOOR(($D$24/2+(0.5-$D$24/2)*LOG10($E$6/$D$6)/(LOG10($D$27*$E$27/100))),0.05),ROUNDDOWN(($D$24/2+(0.5-$D$24/2)*LOG10($E$6/$D$6)/(LOG10($D$27*$E$27/100))),1))</f>
        <v>0.15000000000000002</v>
      </c>
      <c r="E28" s="82">
        <f>D24-D28</f>
        <v>-1.1956019834743095</v>
      </c>
      <c r="F28" s="248"/>
      <c r="G28" s="1"/>
      <c r="H28" s="1"/>
      <c r="I28" s="1"/>
      <c r="J28" s="1"/>
      <c r="K28" s="1"/>
      <c r="L28" s="1"/>
      <c r="M28" s="1"/>
      <c r="N28" s="1"/>
      <c r="O28" s="1"/>
      <c r="P28" s="1"/>
      <c r="Q28" s="1"/>
      <c r="R28" s="1"/>
    </row>
    <row r="29" spans="1:18" ht="13.5" customHeight="1">
      <c r="A29" s="147"/>
      <c r="B29" s="40" t="str">
        <f>0!C46</f>
        <v>Seçilen profil kaydırması</v>
      </c>
      <c r="C29" s="269" t="s">
        <v>120</v>
      </c>
      <c r="D29" s="121">
        <v>0.49</v>
      </c>
      <c r="E29" s="151">
        <f>D24-D29</f>
        <v>-1.5356019834743093</v>
      </c>
      <c r="F29" s="248"/>
      <c r="G29" s="1"/>
      <c r="H29" s="1"/>
      <c r="I29" s="1"/>
      <c r="J29" s="1"/>
      <c r="K29" s="1"/>
      <c r="L29" s="1"/>
      <c r="M29" s="1"/>
      <c r="N29" s="1"/>
      <c r="O29" s="1"/>
      <c r="P29" s="1"/>
      <c r="Q29" s="1"/>
      <c r="R29" s="1"/>
    </row>
    <row r="30" spans="1:18" ht="13.5" customHeight="1">
      <c r="A30" s="147"/>
      <c r="B30" s="40" t="str">
        <f>0!C122</f>
        <v>Taksimat dairesi</v>
      </c>
      <c r="C30" s="270" t="s">
        <v>119</v>
      </c>
      <c r="D30" s="71">
        <f>D6*D18</f>
        <v>38.24393513445797</v>
      </c>
      <c r="E30" s="72">
        <f>E6*D18</f>
        <v>152.97574053783188</v>
      </c>
      <c r="F30" s="248"/>
      <c r="G30" s="1"/>
      <c r="H30" s="1"/>
      <c r="I30" s="1"/>
      <c r="J30" s="1"/>
      <c r="K30" s="1"/>
      <c r="L30" s="1"/>
      <c r="M30" s="1"/>
      <c r="N30" s="1"/>
      <c r="O30" s="1"/>
      <c r="P30" s="1"/>
      <c r="Q30" s="1"/>
      <c r="R30" s="1"/>
    </row>
    <row r="31" spans="1:18" ht="13.5" customHeight="1">
      <c r="A31" s="147"/>
      <c r="B31" s="40" t="str">
        <f>0!C85</f>
        <v>Diş üstü çapı</v>
      </c>
      <c r="C31" s="270" t="s">
        <v>117</v>
      </c>
      <c r="D31" s="71">
        <f>IF(D29&gt;0,D30+2*D7*(1+D29)-2*D25,D30+2*D7*(1+D29)+2*D25)</f>
        <v>46.07787136301398</v>
      </c>
      <c r="E31" s="72">
        <f>IF(E29&gt;0,E30+2*D7*(1+E29)-2*D25,E30+2*D7*(1+E29)+2*D25)</f>
        <v>150.86819240843002</v>
      </c>
      <c r="F31" s="1"/>
      <c r="G31" s="1"/>
      <c r="H31" s="1"/>
      <c r="I31" s="1"/>
      <c r="J31" s="1"/>
      <c r="K31" s="1"/>
      <c r="L31" s="1"/>
      <c r="M31" s="1"/>
      <c r="N31" s="1"/>
      <c r="O31" s="1"/>
      <c r="P31" s="1"/>
      <c r="Q31" s="1"/>
      <c r="R31" s="1"/>
    </row>
    <row r="32" spans="1:18" ht="13.5" customHeight="1">
      <c r="A32" s="147"/>
      <c r="B32" s="40" t="str">
        <f>0!C93</f>
        <v>Ölçülecek diş sayısı</v>
      </c>
      <c r="C32" s="269" t="s">
        <v>118</v>
      </c>
      <c r="D32" s="73">
        <f>ROUND(D27*D8/180+1,0)</f>
        <v>3</v>
      </c>
      <c r="E32" s="74">
        <f>ROUND(E27*D8/180+1,0)</f>
        <v>7</v>
      </c>
      <c r="F32" s="248"/>
      <c r="G32" s="1"/>
      <c r="H32" s="1"/>
      <c r="I32" s="1"/>
      <c r="J32" s="1"/>
      <c r="K32" s="1"/>
      <c r="L32" s="1"/>
      <c r="M32" s="1"/>
      <c r="N32" s="1"/>
      <c r="O32" s="1"/>
      <c r="P32" s="1"/>
      <c r="Q32" s="1"/>
      <c r="R32" s="1"/>
    </row>
    <row r="33" spans="1:18" ht="13.5" customHeight="1">
      <c r="A33" s="147"/>
      <c r="B33" s="40" t="str">
        <f>0!C145</f>
        <v>Kontrol ölçü değeri</v>
      </c>
      <c r="C33" s="41" t="s">
        <v>64</v>
      </c>
      <c r="D33" s="71">
        <f>D7*COS(PI()*D8/180)*((D32-0.5)*PI()+D6*D22)+2*D29*D7*SIN(PI()*D8/180)</f>
        <v>23.74549570875119</v>
      </c>
      <c r="E33" s="72">
        <f>D7*COS(PI()*D8/180)*((E32-0.5)*PI()+E6*D22)+2*E29*D7*SIN(PI()*D8/180)</f>
        <v>56.811205028638255</v>
      </c>
      <c r="F33" s="248"/>
      <c r="G33" s="1"/>
      <c r="H33" s="1"/>
      <c r="I33" s="1"/>
      <c r="J33" s="1"/>
      <c r="K33" s="1"/>
      <c r="L33" s="1"/>
      <c r="M33" s="1"/>
      <c r="N33" s="1"/>
      <c r="O33" s="1"/>
      <c r="P33" s="1"/>
      <c r="Q33" s="1"/>
      <c r="R33" s="1"/>
    </row>
    <row r="34" spans="1:18" ht="13.5" customHeight="1">
      <c r="A34" s="147"/>
      <c r="B34" s="40" t="str">
        <f>0!C144</f>
        <v>Toleransları</v>
      </c>
      <c r="C34" s="269" t="s">
        <v>111</v>
      </c>
      <c r="D34" s="75">
        <f>9!F25</f>
        <v>-0.01785415979493226</v>
      </c>
      <c r="E34" s="76">
        <f>9!G25</f>
        <v>-0.03288924172750679</v>
      </c>
      <c r="F34" s="248"/>
      <c r="G34" s="1"/>
      <c r="H34" s="1"/>
      <c r="I34" s="1"/>
      <c r="J34" s="1"/>
      <c r="K34" s="1"/>
      <c r="L34" s="1"/>
      <c r="M34" s="1"/>
      <c r="N34" s="1"/>
      <c r="O34" s="1"/>
      <c r="P34" s="1"/>
      <c r="Q34" s="1"/>
      <c r="R34" s="1"/>
    </row>
    <row r="35" spans="1:18" ht="13.5" customHeight="1">
      <c r="A35" s="147"/>
      <c r="B35" s="21"/>
      <c r="C35" s="269" t="s">
        <v>112</v>
      </c>
      <c r="D35" s="75">
        <f>9!F26</f>
        <v>-0.04134647531457997</v>
      </c>
      <c r="E35" s="76">
        <f>9!G26</f>
        <v>-0.07047694655894313</v>
      </c>
      <c r="F35" s="248"/>
      <c r="G35" s="1"/>
      <c r="H35" s="1"/>
      <c r="I35" s="1"/>
      <c r="J35" s="1"/>
      <c r="K35" s="1"/>
      <c r="L35" s="1"/>
      <c r="M35" s="1"/>
      <c r="N35" s="1"/>
      <c r="O35" s="1"/>
      <c r="P35" s="1"/>
      <c r="Q35" s="1"/>
      <c r="R35" s="1"/>
    </row>
    <row r="36" spans="1:18" ht="13.5" customHeight="1">
      <c r="A36" s="147"/>
      <c r="B36" s="77" t="str">
        <f>0!C96</f>
        <v>Üst ölçü değeri</v>
      </c>
      <c r="C36" s="269" t="s">
        <v>113</v>
      </c>
      <c r="D36" s="71">
        <f>D33+D34</f>
        <v>23.727641548956257</v>
      </c>
      <c r="E36" s="72">
        <f>E33+E34</f>
        <v>56.778315786910746</v>
      </c>
      <c r="F36" s="248"/>
      <c r="G36" s="1"/>
      <c r="H36" s="1"/>
      <c r="I36" s="1"/>
      <c r="J36" s="1"/>
      <c r="K36" s="1"/>
      <c r="L36" s="1"/>
      <c r="M36" s="1"/>
      <c r="N36" s="1"/>
      <c r="O36" s="1"/>
      <c r="P36" s="1"/>
      <c r="Q36" s="1"/>
      <c r="R36" s="1"/>
    </row>
    <row r="37" spans="1:18" ht="13.5" customHeight="1">
      <c r="A37" s="147"/>
      <c r="B37" s="77" t="str">
        <f>0!C124</f>
        <v>Alt ölçü değeri</v>
      </c>
      <c r="C37" s="269" t="s">
        <v>114</v>
      </c>
      <c r="D37" s="71">
        <f>D33+D35</f>
        <v>23.70414923343661</v>
      </c>
      <c r="E37" s="72">
        <f>E33+E35</f>
        <v>56.740728082079315</v>
      </c>
      <c r="F37" s="248"/>
      <c r="G37" s="1"/>
      <c r="H37" s="1"/>
      <c r="I37" s="1"/>
      <c r="J37" s="1"/>
      <c r="K37" s="1"/>
      <c r="L37" s="1"/>
      <c r="M37" s="1"/>
      <c r="N37" s="1"/>
      <c r="O37" s="1"/>
      <c r="P37" s="1"/>
      <c r="Q37" s="1"/>
      <c r="R37" s="1"/>
    </row>
    <row r="38" spans="1:18" ht="13.5" customHeight="1">
      <c r="A38" s="147"/>
      <c r="B38" s="40" t="str">
        <f>0!C79</f>
        <v>Temel daire çapı</v>
      </c>
      <c r="C38" s="270" t="s">
        <v>115</v>
      </c>
      <c r="D38" s="71">
        <f>D30*COS(PI()*D19/180)</f>
        <v>35.670351592801126</v>
      </c>
      <c r="E38" s="72">
        <f>E30*COS(PI()*D19/180)</f>
        <v>142.6814063712045</v>
      </c>
      <c r="F38" s="248"/>
      <c r="G38" s="1"/>
      <c r="H38" s="1"/>
      <c r="I38" s="1"/>
      <c r="J38" s="1"/>
      <c r="K38" s="1"/>
      <c r="L38" s="1"/>
      <c r="M38" s="1"/>
      <c r="N38" s="1"/>
      <c r="O38" s="1"/>
      <c r="P38" s="1"/>
      <c r="Q38" s="1"/>
      <c r="R38" s="1"/>
    </row>
    <row r="39" spans="1:18" ht="13.5" customHeight="1">
      <c r="A39" s="147"/>
      <c r="B39" s="54" t="str">
        <f>0!C101</f>
        <v>Profil kavrama oranı</v>
      </c>
      <c r="C39" s="271" t="s">
        <v>110</v>
      </c>
      <c r="D39" s="69">
        <f>((0.5*((D31^2-D38^2)^(0.5)+(E31^2-E38^2)^(0.5))-D12*SIN(PI()*D21/180))/(PI()*D18*COS(PI()*D19/180)))</f>
        <v>1.7993531134846281</v>
      </c>
      <c r="E39" s="68"/>
      <c r="F39" s="359" t="str">
        <f>0!C50</f>
        <v>Düşünceler :</v>
      </c>
      <c r="G39" s="360"/>
      <c r="H39" s="360"/>
      <c r="I39" s="360"/>
      <c r="J39" s="360"/>
      <c r="K39" s="360"/>
      <c r="L39" s="360"/>
      <c r="M39" s="360"/>
      <c r="N39" s="360"/>
      <c r="P39" s="1"/>
      <c r="Q39" s="1"/>
      <c r="R39" s="1"/>
    </row>
    <row r="40" spans="1:18" ht="13.5" customHeight="1">
      <c r="A40" s="147"/>
      <c r="B40" s="728"/>
      <c r="C40" s="271" t="s">
        <v>555</v>
      </c>
      <c r="D40" s="69">
        <f>D39/(COS(D26*PI()/180))^2</f>
        <v>2.0005736551374773</v>
      </c>
      <c r="E40" s="68"/>
      <c r="F40" s="359"/>
      <c r="G40" s="360"/>
      <c r="H40" s="360"/>
      <c r="I40" s="360"/>
      <c r="J40" s="360"/>
      <c r="K40" s="360"/>
      <c r="L40" s="360"/>
      <c r="M40" s="360"/>
      <c r="N40" s="360"/>
      <c r="P40" s="1"/>
      <c r="Q40" s="1"/>
      <c r="R40" s="1"/>
    </row>
    <row r="41" spans="1:18" ht="13.5" customHeight="1">
      <c r="A41" s="147"/>
      <c r="B41" s="78" t="str">
        <f>0!C117</f>
        <v>Helis kavrama oranı</v>
      </c>
      <c r="C41" s="272" t="s">
        <v>116</v>
      </c>
      <c r="D41" s="79">
        <f>E9*SIN(PI()*D10/180)/PI()/D7</f>
        <v>2.148588221777709</v>
      </c>
      <c r="E41" s="80"/>
      <c r="F41" s="354"/>
      <c r="G41" s="360"/>
      <c r="H41" s="360"/>
      <c r="I41" s="360"/>
      <c r="J41" s="360"/>
      <c r="K41" s="360"/>
      <c r="L41" s="360"/>
      <c r="M41" s="360"/>
      <c r="N41" s="360"/>
      <c r="P41" s="1"/>
      <c r="Q41" s="1"/>
      <c r="R41" s="1"/>
    </row>
    <row r="42" spans="1:18" ht="13.5" customHeight="1">
      <c r="A42" s="147"/>
      <c r="B42" s="1"/>
      <c r="C42" s="1"/>
      <c r="D42" s="1"/>
      <c r="E42" s="1"/>
      <c r="F42" s="1"/>
      <c r="G42" s="1"/>
      <c r="H42" s="1"/>
      <c r="I42" s="1"/>
      <c r="J42" s="1"/>
      <c r="K42" s="1"/>
      <c r="L42" s="1"/>
      <c r="M42" s="1"/>
      <c r="N42" s="1"/>
      <c r="O42" s="1"/>
      <c r="P42" s="1"/>
      <c r="Q42" s="1"/>
      <c r="R42" s="1"/>
    </row>
    <row r="43" ht="13.5" customHeight="1"/>
    <row r="44" ht="13.5" customHeight="1"/>
    <row r="45" ht="13.5" customHeight="1"/>
  </sheetData>
  <sheetProtection password="EF77" sheet="1" objects="1" scenarios="1"/>
  <mergeCells count="1">
    <mergeCell ref="D8:E8"/>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3"/>
  <headerFooter alignWithMargins="0">
    <oddFooter>&amp;L&amp;F / &amp;A / &amp;D&amp;RSeite &amp;P von &amp;N</oddFooter>
  </headerFooter>
  <legacyDrawing r:id="rId2"/>
  <oleObjects>
    <oleObject progId="AutoCAD.Drawing.15" shapeId="558132" r:id="rId1"/>
  </oleObjects>
</worksheet>
</file>

<file path=xl/worksheets/sheet5.xml><?xml version="1.0" encoding="utf-8"?>
<worksheet xmlns="http://schemas.openxmlformats.org/spreadsheetml/2006/main" xmlns:r="http://schemas.openxmlformats.org/officeDocument/2006/relationships">
  <sheetPr codeName="Tabelle5"/>
  <dimension ref="A2:AF383"/>
  <sheetViews>
    <sheetView showGridLines="0" showRowColHeaders="0" zoomScale="95" zoomScaleNormal="95" workbookViewId="0" topLeftCell="A1">
      <selection activeCell="H37" sqref="H37"/>
    </sheetView>
  </sheetViews>
  <sheetFormatPr defaultColWidth="11.421875" defaultRowHeight="15" customHeight="1"/>
  <cols>
    <col min="1" max="1" width="1.7109375" style="148" customWidth="1"/>
    <col min="2" max="2" width="30.7109375" style="148" customWidth="1"/>
    <col min="3" max="4" width="7.00390625" style="148" customWidth="1"/>
    <col min="5" max="6" width="8.7109375" style="148" customWidth="1"/>
    <col min="7" max="7" width="2.7109375" style="148" customWidth="1"/>
    <col min="8" max="8" width="25.7109375" style="148" customWidth="1"/>
    <col min="9" max="10" width="7.00390625" style="148" customWidth="1"/>
    <col min="11" max="12" width="8.7109375" style="148" customWidth="1"/>
    <col min="13" max="14" width="12.7109375" style="148" customWidth="1"/>
    <col min="15" max="15" width="2.7109375" style="148" customWidth="1"/>
    <col min="16" max="16" width="2.7109375" style="148" hidden="1" customWidth="1"/>
    <col min="17" max="18" width="2.7109375" style="467" hidden="1" customWidth="1"/>
    <col min="19" max="19" width="6.7109375" style="468" hidden="1" customWidth="1"/>
    <col min="20" max="20" width="0" style="468" hidden="1" customWidth="1"/>
    <col min="21" max="26" width="0" style="467" hidden="1" customWidth="1"/>
    <col min="27" max="28" width="0" style="468" hidden="1" customWidth="1"/>
    <col min="29" max="29" width="16.00390625" style="467" hidden="1" customWidth="1"/>
    <col min="30" max="30" width="16.7109375" style="467" hidden="1" customWidth="1"/>
    <col min="31" max="31" width="0" style="467" hidden="1" customWidth="1"/>
    <col min="32" max="38" width="0" style="148" hidden="1" customWidth="1"/>
    <col min="39" max="40" width="2.7109375" style="148" customWidth="1"/>
    <col min="41" max="16384" width="11.421875" style="148" customWidth="1"/>
  </cols>
  <sheetData>
    <row r="1" ht="7.5" customHeight="1"/>
    <row r="2" spans="1:16" ht="15" customHeight="1">
      <c r="A2" s="147"/>
      <c r="B2" s="120" t="str">
        <f>0!C104</f>
        <v>Proje :</v>
      </c>
      <c r="C2" s="6" t="str">
        <f>1!C1</f>
        <v>Takım tezgahı</v>
      </c>
      <c r="D2" s="149"/>
      <c r="E2" s="149"/>
      <c r="F2" s="149"/>
      <c r="G2" s="149"/>
      <c r="H2" s="149"/>
      <c r="I2" s="1"/>
      <c r="J2" s="1"/>
      <c r="K2" s="469" t="str">
        <f>Info!B11</f>
        <v>www.guven-kutay.ch</v>
      </c>
      <c r="M2" s="81"/>
      <c r="N2" s="120" t="str">
        <f>Info!N11</f>
        <v>Copyright : M. G. Kutay , Ver 10.02</v>
      </c>
      <c r="O2" s="147"/>
      <c r="P2" s="147"/>
    </row>
    <row r="3" spans="1:16" ht="7.5" customHeight="1">
      <c r="A3" s="147"/>
      <c r="B3" s="470"/>
      <c r="C3" s="354"/>
      <c r="D3" s="354"/>
      <c r="E3" s="354"/>
      <c r="F3" s="354"/>
      <c r="G3" s="354"/>
      <c r="H3" s="354"/>
      <c r="I3" s="354"/>
      <c r="J3" s="354"/>
      <c r="M3" s="81"/>
      <c r="N3" s="81"/>
      <c r="O3" s="147"/>
      <c r="P3" s="147"/>
    </row>
    <row r="4" spans="1:16" ht="15" customHeight="1">
      <c r="A4" s="147"/>
      <c r="B4" s="322" t="str">
        <f>0!AF35</f>
        <v>3.   1. Kademeninde mukavemet hesapları  </v>
      </c>
      <c r="C4" s="354"/>
      <c r="D4" s="354"/>
      <c r="E4" s="726"/>
      <c r="F4" s="354"/>
      <c r="G4" s="354"/>
      <c r="H4" s="354"/>
      <c r="I4" s="354"/>
      <c r="J4" s="354"/>
      <c r="M4" s="81"/>
      <c r="N4" s="81"/>
      <c r="O4" s="147"/>
      <c r="P4" s="147"/>
    </row>
    <row r="5" spans="1:16" ht="7.5" customHeight="1">
      <c r="A5" s="147"/>
      <c r="C5" s="354"/>
      <c r="D5" s="354"/>
      <c r="E5" s="354"/>
      <c r="F5" s="354"/>
      <c r="G5" s="354"/>
      <c r="H5" s="354"/>
      <c r="I5" s="354"/>
      <c r="J5" s="354"/>
      <c r="M5" s="81"/>
      <c r="N5" s="81"/>
      <c r="O5" s="147"/>
      <c r="P5" s="147"/>
    </row>
    <row r="6" spans="1:12" ht="15" customHeight="1">
      <c r="A6" s="147"/>
      <c r="B6" s="176" t="str">
        <f>0!C39</f>
        <v>A) Diş dibi kırılma mukavemet hesabı</v>
      </c>
      <c r="C6" s="399"/>
      <c r="D6" s="399"/>
      <c r="E6" s="97" t="str">
        <f>0!C109</f>
        <v>Pinyon</v>
      </c>
      <c r="F6" s="97" t="str">
        <f>0!C105</f>
        <v>Çark</v>
      </c>
      <c r="H6" s="466" t="str">
        <f>0!C47</f>
        <v>B) Diş yanağı form mukavemet hesabı</v>
      </c>
      <c r="I6" s="5"/>
      <c r="J6" s="5"/>
      <c r="K6" s="97"/>
      <c r="L6" s="5"/>
    </row>
    <row r="7" spans="1:14" ht="15" customHeight="1">
      <c r="A7" s="147"/>
      <c r="B7" s="155" t="str">
        <f>0!C121</f>
        <v>Teğet Kuvvet</v>
      </c>
      <c r="C7" s="249" t="s">
        <v>53</v>
      </c>
      <c r="D7" s="157" t="s">
        <v>43</v>
      </c>
      <c r="E7" s="165">
        <f>2*1!F8/2!D30</f>
        <v>7274.3560259137785</v>
      </c>
      <c r="F7" s="158">
        <f>E7</f>
        <v>7274.3560259137785</v>
      </c>
      <c r="G7" s="1"/>
      <c r="H7" s="155" t="str">
        <f>0!C122</f>
        <v>Taksimat dairesi</v>
      </c>
      <c r="I7" s="471" t="s">
        <v>24</v>
      </c>
      <c r="J7" s="157" t="s">
        <v>57</v>
      </c>
      <c r="K7" s="163">
        <f>2!D30</f>
        <v>38.24393513445797</v>
      </c>
      <c r="L7" s="472" t="s">
        <v>194</v>
      </c>
      <c r="M7" s="473">
        <f>2*N26*TAN(M8)/N28-N30</f>
        <v>0.7767422676821852</v>
      </c>
      <c r="N7" s="474">
        <f>2*N27*TAN(N8)/N29-N31</f>
        <v>0.8874152147964818</v>
      </c>
    </row>
    <row r="8" spans="1:14" ht="15" customHeight="1">
      <c r="A8" s="147"/>
      <c r="B8" s="156" t="str">
        <f>0!C143</f>
        <v>Diş dibi mukavemeti</v>
      </c>
      <c r="C8" s="475" t="s">
        <v>67</v>
      </c>
      <c r="D8" s="205" t="s">
        <v>52</v>
      </c>
      <c r="E8" s="166">
        <f>1!F31</f>
        <v>310</v>
      </c>
      <c r="F8" s="159">
        <f>1!F32</f>
        <v>310</v>
      </c>
      <c r="G8" s="1"/>
      <c r="H8" s="156" t="str">
        <f>0!C138</f>
        <v>Diş genişliği</v>
      </c>
      <c r="I8" s="476" t="s">
        <v>8</v>
      </c>
      <c r="J8" s="205" t="s">
        <v>57</v>
      </c>
      <c r="K8" s="164">
        <f>1!F16</f>
        <v>60</v>
      </c>
      <c r="L8" s="5"/>
      <c r="M8" s="477">
        <f>M7</f>
        <v>0.7767422676821852</v>
      </c>
      <c r="N8" s="478">
        <f>N7</f>
        <v>0.8874152147964818</v>
      </c>
    </row>
    <row r="9" spans="1:28" ht="15" customHeight="1">
      <c r="A9" s="147"/>
      <c r="B9" s="156" t="str">
        <f>0!C142</f>
        <v>Diş yanak mukavemeti</v>
      </c>
      <c r="C9" s="475" t="s">
        <v>68</v>
      </c>
      <c r="D9" s="205" t="s">
        <v>52</v>
      </c>
      <c r="E9" s="166">
        <f>1!F33</f>
        <v>1100</v>
      </c>
      <c r="F9" s="159">
        <f>1!F34</f>
        <v>1100</v>
      </c>
      <c r="G9" s="1"/>
      <c r="H9" s="156" t="str">
        <f>0!C94</f>
        <v>Modül</v>
      </c>
      <c r="I9" s="479" t="s">
        <v>60</v>
      </c>
      <c r="J9" s="218" t="s">
        <v>57</v>
      </c>
      <c r="K9" s="164">
        <f>1!F13</f>
        <v>3</v>
      </c>
      <c r="L9" s="5"/>
      <c r="V9" s="480" t="str">
        <f>IF(MIN(E31:F31)&gt;E32,"Yeterli","Yetersiz")</f>
        <v>Yeterli</v>
      </c>
      <c r="W9" s="427"/>
      <c r="X9" s="427"/>
      <c r="Y9" s="427"/>
      <c r="Z9" s="427"/>
      <c r="AA9" s="418"/>
      <c r="AB9" s="480" t="str">
        <f>IF(MIN(K33:L33)&gt;K34,"Yeterli","Yetersiz")</f>
        <v>Yetersiz</v>
      </c>
    </row>
    <row r="10" spans="1:28" ht="15" customHeight="1">
      <c r="A10" s="147"/>
      <c r="B10" s="16" t="str">
        <f>0!C62</f>
        <v>Elastiklik modülü</v>
      </c>
      <c r="C10" s="343" t="s">
        <v>195</v>
      </c>
      <c r="D10" s="206" t="s">
        <v>52</v>
      </c>
      <c r="E10" s="254">
        <f>1!F27</f>
        <v>210000</v>
      </c>
      <c r="F10" s="255">
        <f>1!F28</f>
        <v>210000</v>
      </c>
      <c r="G10" s="1"/>
      <c r="H10" s="16" t="str">
        <f>0!C141</f>
        <v>Çevirme oranı</v>
      </c>
      <c r="I10" s="481" t="s">
        <v>0</v>
      </c>
      <c r="J10" s="265" t="s">
        <v>84</v>
      </c>
      <c r="K10" s="162">
        <f>1!F12/1!F11</f>
        <v>4</v>
      </c>
      <c r="L10" s="5"/>
      <c r="M10" s="956" t="str">
        <f>IF(Info!I13&gt;2.5,S24,IF(Info!I13&gt;1.5,S19,S14))</f>
        <v>Bu bir yineleme hesabıdır. Mavi karelerde "#ZAHL! " veya " #DIV0!" görüldüğünde, "#ZAHL! "  veya " #DIV0!" yerine "=Tetanın kare numarasını" (bir üst kare) veriniz. Daha sonra standart çubukta şu emirleri veriniz: </v>
      </c>
      <c r="N10" s="956"/>
      <c r="V10" s="480" t="str">
        <f>IF(MIN(E31:F31)&gt;E32,"zulässig ","  Nicht zulässig!")</f>
        <v>zulässig </v>
      </c>
      <c r="AB10" s="480" t="str">
        <f>IF(MIN(K33:L33)&gt;K34,"zulässig ","  Nicht zulässig!")</f>
        <v>  Nicht zulässig!</v>
      </c>
    </row>
    <row r="11" spans="1:28" ht="15" customHeight="1">
      <c r="A11" s="147"/>
      <c r="B11" s="96" t="str">
        <f>0!C99</f>
        <v>Kısmi diş dibi gerilimi</v>
      </c>
      <c r="C11" s="482"/>
      <c r="D11" s="147"/>
      <c r="E11" s="5"/>
      <c r="F11" s="5"/>
      <c r="G11" s="1"/>
      <c r="H11" s="483" t="str">
        <f>0!C98</f>
        <v>Yerel Hertz basıncı</v>
      </c>
      <c r="I11" s="256"/>
      <c r="J11" s="5"/>
      <c r="K11" s="81"/>
      <c r="L11" s="5"/>
      <c r="M11" s="956"/>
      <c r="N11" s="956"/>
      <c r="V11" s="480" t="str">
        <f>IF(MIN(E31:F31)&gt;E32,"Permissible","Inadmissible! ")</f>
        <v>Permissible</v>
      </c>
      <c r="AB11" s="480" t="str">
        <f>IF(MIN(K33:L33)&gt;K34,"Permissible","Inadmissible! ")</f>
        <v>Inadmissible! </v>
      </c>
    </row>
    <row r="12" spans="1:14" ht="15" customHeight="1">
      <c r="A12" s="147"/>
      <c r="B12" s="155" t="str">
        <f>0!C99</f>
        <v>Kısmi diş dibi gerilimi</v>
      </c>
      <c r="C12" s="484" t="s">
        <v>196</v>
      </c>
      <c r="D12" s="175" t="s">
        <v>52</v>
      </c>
      <c r="E12" s="167">
        <f>E7/2!E9/2!D7*E13*E14*E15*E16</f>
        <v>86.15412330804152</v>
      </c>
      <c r="F12" s="167">
        <f>F7/2!E9/2!D7*F13*F14*F15*F16</f>
        <v>122.417051009521</v>
      </c>
      <c r="G12" s="1"/>
      <c r="H12" s="155" t="str">
        <f>0!C98</f>
        <v>Yerel Hertz basıncı</v>
      </c>
      <c r="I12" s="485" t="s">
        <v>197</v>
      </c>
      <c r="J12" s="157" t="s">
        <v>52</v>
      </c>
      <c r="K12" s="170">
        <f>K18*K13*K14</f>
        <v>814.915426176574</v>
      </c>
      <c r="L12" s="354"/>
      <c r="M12" s="956"/>
      <c r="N12" s="956"/>
    </row>
    <row r="13" spans="1:14" ht="15" customHeight="1">
      <c r="A13" s="147"/>
      <c r="B13" s="156" t="str">
        <f>0!C84</f>
        <v>Dişüstü faktörü</v>
      </c>
      <c r="C13" s="252" t="s">
        <v>198</v>
      </c>
      <c r="D13" s="264" t="s">
        <v>84</v>
      </c>
      <c r="E13" s="486">
        <f>AD39</f>
        <v>2.1114505116532603</v>
      </c>
      <c r="F13" s="487">
        <f>AD41</f>
        <v>4.6588960097123575</v>
      </c>
      <c r="G13" s="1"/>
      <c r="H13" s="156" t="str">
        <f>0!C125</f>
        <v>Yük payı faktörü</v>
      </c>
      <c r="I13" s="257" t="s">
        <v>199</v>
      </c>
      <c r="J13" s="264" t="s">
        <v>84</v>
      </c>
      <c r="K13" s="488">
        <f>AD297</f>
        <v>0.7454899621497447</v>
      </c>
      <c r="L13" s="354"/>
      <c r="M13" s="956"/>
      <c r="N13" s="956"/>
    </row>
    <row r="14" spans="1:30" ht="15" customHeight="1">
      <c r="A14" s="147"/>
      <c r="B14" s="156" t="str">
        <f>0!C116</f>
        <v>Çentik faktörü</v>
      </c>
      <c r="C14" s="252" t="s">
        <v>200</v>
      </c>
      <c r="D14" s="264" t="s">
        <v>84</v>
      </c>
      <c r="E14" s="486">
        <f>Z211</f>
        <v>1.933546692708035</v>
      </c>
      <c r="F14" s="487">
        <f>AD211</f>
        <v>1.2451406166184604</v>
      </c>
      <c r="G14" s="1"/>
      <c r="H14" s="156" t="str">
        <f>B16</f>
        <v>Helis faktörü </v>
      </c>
      <c r="I14" s="257" t="s">
        <v>201</v>
      </c>
      <c r="J14" s="264" t="s">
        <v>84</v>
      </c>
      <c r="K14" s="488">
        <f>AD307</f>
        <v>0.9702194214996553</v>
      </c>
      <c r="L14" s="354"/>
      <c r="M14" s="956"/>
      <c r="N14" s="956"/>
      <c r="S14" s="953" t="s">
        <v>202</v>
      </c>
      <c r="T14" s="953"/>
      <c r="U14" s="953"/>
      <c r="V14" s="953"/>
      <c r="W14" s="953"/>
      <c r="X14" s="953"/>
      <c r="Y14" s="953"/>
      <c r="Z14" s="953"/>
      <c r="AA14" s="953"/>
      <c r="AB14" s="953"/>
      <c r="AC14" s="953"/>
      <c r="AD14" s="953"/>
    </row>
    <row r="15" spans="1:30" ht="15" customHeight="1">
      <c r="A15" s="147"/>
      <c r="B15" s="156" t="str">
        <f>0!C125</f>
        <v>Yük payı faktörü</v>
      </c>
      <c r="C15" s="252" t="s">
        <v>203</v>
      </c>
      <c r="D15" s="264" t="s">
        <v>84</v>
      </c>
      <c r="E15" s="335">
        <f>AD154</f>
        <v>0.6248924705041469</v>
      </c>
      <c r="F15" s="268">
        <f>E15</f>
        <v>0.6248924705041469</v>
      </c>
      <c r="G15" s="1"/>
      <c r="H15" s="156" t="str">
        <f>0!C146</f>
        <v>Diş yanağı form faktörü </v>
      </c>
      <c r="I15" s="257" t="s">
        <v>204</v>
      </c>
      <c r="J15" s="264" t="s">
        <v>84</v>
      </c>
      <c r="K15" s="488">
        <f>AD311</f>
        <v>2.953291984289061</v>
      </c>
      <c r="L15" s="354"/>
      <c r="M15" s="956"/>
      <c r="N15" s="956"/>
      <c r="S15" s="953"/>
      <c r="T15" s="953"/>
      <c r="U15" s="953"/>
      <c r="V15" s="953"/>
      <c r="W15" s="953"/>
      <c r="X15" s="953"/>
      <c r="Y15" s="953"/>
      <c r="Z15" s="953"/>
      <c r="AA15" s="953"/>
      <c r="AB15" s="953"/>
      <c r="AC15" s="953"/>
      <c r="AD15" s="953"/>
    </row>
    <row r="16" spans="1:14" ht="15" customHeight="1">
      <c r="A16" s="147"/>
      <c r="B16" s="16" t="str">
        <f>0!C112</f>
        <v>Helis faktörü </v>
      </c>
      <c r="C16" s="489" t="s">
        <v>205</v>
      </c>
      <c r="D16" s="265" t="s">
        <v>84</v>
      </c>
      <c r="E16" s="490">
        <f>AD156</f>
        <v>0.8356283333333333</v>
      </c>
      <c r="F16" s="13">
        <f>E16</f>
        <v>0.8356283333333333</v>
      </c>
      <c r="G16" s="1"/>
      <c r="H16" s="16" t="str">
        <f>0!C61</f>
        <v>Elastikiyet faktörü </v>
      </c>
      <c r="I16" s="258" t="s">
        <v>206</v>
      </c>
      <c r="J16" s="265" t="s">
        <v>84</v>
      </c>
      <c r="K16" s="491">
        <f>AD316</f>
        <v>191.64567250641844</v>
      </c>
      <c r="L16" s="354"/>
      <c r="M16" s="956"/>
      <c r="N16" s="956"/>
    </row>
    <row r="17" spans="1:30" ht="15" customHeight="1">
      <c r="A17" s="147"/>
      <c r="B17" s="96" t="str">
        <f>0!C71</f>
        <v>Diş dibi karşılaştırma mukavemeti</v>
      </c>
      <c r="C17" s="250"/>
      <c r="D17" s="147"/>
      <c r="E17" s="5"/>
      <c r="F17" s="5"/>
      <c r="G17" s="1"/>
      <c r="H17" s="34" t="str">
        <f>0!C131</f>
        <v>İşletmede Hertz basıncı</v>
      </c>
      <c r="I17" s="256"/>
      <c r="J17" s="5"/>
      <c r="K17" s="81"/>
      <c r="L17" s="354"/>
      <c r="M17" s="956"/>
      <c r="N17" s="956"/>
      <c r="S17" s="954" t="s">
        <v>207</v>
      </c>
      <c r="T17" s="954"/>
      <c r="U17" s="954"/>
      <c r="V17" s="954"/>
      <c r="W17" s="954"/>
      <c r="X17" s="954"/>
      <c r="Y17" s="954"/>
      <c r="Z17" s="954"/>
      <c r="AA17" s="954"/>
      <c r="AB17" s="954"/>
      <c r="AC17" s="954"/>
      <c r="AD17" s="954"/>
    </row>
    <row r="18" spans="1:14" ht="15" customHeight="1">
      <c r="A18" s="147"/>
      <c r="B18" s="155" t="str">
        <f>0!C71</f>
        <v>Diş dibi karşılaştırma mukavemeti</v>
      </c>
      <c r="C18" s="484" t="s">
        <v>208</v>
      </c>
      <c r="D18" s="157" t="s">
        <v>52</v>
      </c>
      <c r="E18" s="168">
        <f>E12*E19*E20*E21*E22</f>
        <v>313.58081290537484</v>
      </c>
      <c r="F18" s="160">
        <f>F12*F19*F20*F21*F22</f>
        <v>445.5693691152827</v>
      </c>
      <c r="G18" s="1"/>
      <c r="H18" s="155" t="str">
        <f>0!C82</f>
        <v>Yanaklarda Hertz basıncı</v>
      </c>
      <c r="I18" s="485" t="s">
        <v>209</v>
      </c>
      <c r="J18" s="157" t="s">
        <v>52</v>
      </c>
      <c r="K18" s="170">
        <f>(E7*(K10+1)/(K8*K7*K10))^(0.5)*K15*K16</f>
        <v>1126.680492387835</v>
      </c>
      <c r="L18" s="354"/>
      <c r="M18" s="956" t="str">
        <f>IF(Info!I13&gt;2.5,S27,IF(Info!I13&gt;1.5,S22,S17))</f>
        <v>Araçlar  /  Seçenekler  /  Hesaplama  / yinelemeyi çengelleyin /  Şimdi Hesapla (F9) veya Tamam'a basın.</v>
      </c>
      <c r="N18" s="956"/>
    </row>
    <row r="19" spans="1:30" ht="15" customHeight="1">
      <c r="A19" s="147"/>
      <c r="B19" s="156" t="str">
        <f>0!C45</f>
        <v>İşletme faktörü </v>
      </c>
      <c r="C19" s="251" t="s">
        <v>210</v>
      </c>
      <c r="D19" s="264" t="s">
        <v>84</v>
      </c>
      <c r="E19" s="335">
        <f>'11'!O7</f>
        <v>1.5</v>
      </c>
      <c r="F19" s="268">
        <f>E19</f>
        <v>1.5</v>
      </c>
      <c r="G19" s="1"/>
      <c r="H19" s="156" t="str">
        <f>H17</f>
        <v>İşletmede Hertz basıncı</v>
      </c>
      <c r="I19" s="492" t="s">
        <v>154</v>
      </c>
      <c r="J19" s="205" t="s">
        <v>52</v>
      </c>
      <c r="K19" s="493">
        <f>K12*(K20*K21*K22*K23)^(0.5)</f>
        <v>1619.911678929043</v>
      </c>
      <c r="L19" s="354"/>
      <c r="M19" s="956"/>
      <c r="N19" s="956"/>
      <c r="S19" s="955" t="s">
        <v>211</v>
      </c>
      <c r="T19" s="955"/>
      <c r="U19" s="955"/>
      <c r="V19" s="955"/>
      <c r="W19" s="955"/>
      <c r="X19" s="955"/>
      <c r="Y19" s="955"/>
      <c r="Z19" s="955"/>
      <c r="AA19" s="955"/>
      <c r="AB19" s="955"/>
      <c r="AC19" s="955"/>
      <c r="AD19" s="955"/>
    </row>
    <row r="20" spans="1:30" ht="15" customHeight="1">
      <c r="A20" s="147"/>
      <c r="B20" s="156" t="str">
        <f>0!C58</f>
        <v>Dinamik faktör</v>
      </c>
      <c r="C20" s="252" t="s">
        <v>212</v>
      </c>
      <c r="D20" s="264" t="s">
        <v>84</v>
      </c>
      <c r="E20" s="335">
        <f>AD94</f>
        <v>1.0487786985497483</v>
      </c>
      <c r="F20" s="268">
        <f>E20</f>
        <v>1.0487786985497483</v>
      </c>
      <c r="G20" s="1"/>
      <c r="H20" s="156" t="str">
        <f>B19</f>
        <v>İşletme faktörü </v>
      </c>
      <c r="I20" s="494" t="s">
        <v>210</v>
      </c>
      <c r="J20" s="264" t="s">
        <v>84</v>
      </c>
      <c r="K20" s="268">
        <f>E19</f>
        <v>1.5</v>
      </c>
      <c r="L20" s="354"/>
      <c r="M20" s="956"/>
      <c r="N20" s="956"/>
      <c r="S20" s="955"/>
      <c r="T20" s="955"/>
      <c r="U20" s="955"/>
      <c r="V20" s="955"/>
      <c r="W20" s="955"/>
      <c r="X20" s="955"/>
      <c r="Y20" s="955"/>
      <c r="Z20" s="955"/>
      <c r="AA20" s="955"/>
      <c r="AB20" s="955"/>
      <c r="AC20" s="955"/>
      <c r="AD20" s="955"/>
    </row>
    <row r="21" spans="1:14" ht="15" customHeight="1">
      <c r="A21" s="147"/>
      <c r="B21" s="156" t="str">
        <f>0!C55</f>
        <v>Yük dağılma faktörü</v>
      </c>
      <c r="C21" s="252" t="s">
        <v>213</v>
      </c>
      <c r="D21" s="264" t="s">
        <v>84</v>
      </c>
      <c r="E21" s="495">
        <f>AD150</f>
        <v>1.9280444899460984</v>
      </c>
      <c r="F21" s="268">
        <f>E21</f>
        <v>1.9280444899460984</v>
      </c>
      <c r="G21" s="1"/>
      <c r="H21" s="156" t="str">
        <f>B20</f>
        <v>Dinamik faktör</v>
      </c>
      <c r="I21" s="257" t="s">
        <v>212</v>
      </c>
      <c r="J21" s="264" t="s">
        <v>84</v>
      </c>
      <c r="K21" s="268">
        <f>E20</f>
        <v>1.0487786985497483</v>
      </c>
      <c r="L21" s="354"/>
      <c r="M21" s="956"/>
      <c r="N21" s="956"/>
    </row>
    <row r="22" spans="1:30" ht="15" customHeight="1">
      <c r="A22" s="147"/>
      <c r="B22" s="207" t="str">
        <f>0!C120</f>
        <v>Alın yükü dağılma faktörü</v>
      </c>
      <c r="C22" s="253" t="s">
        <v>214</v>
      </c>
      <c r="D22" s="265" t="s">
        <v>84</v>
      </c>
      <c r="E22" s="490">
        <f>AD158</f>
        <v>1.2</v>
      </c>
      <c r="F22" s="13">
        <f>E22</f>
        <v>1.2</v>
      </c>
      <c r="G22" s="1"/>
      <c r="H22" s="156" t="str">
        <f>B21</f>
        <v>Yük dağılma faktörü</v>
      </c>
      <c r="I22" s="257" t="s">
        <v>215</v>
      </c>
      <c r="J22" s="264" t="s">
        <v>84</v>
      </c>
      <c r="K22" s="268">
        <f>AD84</f>
        <v>2.093154241393768</v>
      </c>
      <c r="L22" s="354"/>
      <c r="M22" s="956"/>
      <c r="N22" s="956"/>
      <c r="S22" s="957" t="s">
        <v>216</v>
      </c>
      <c r="T22" s="957"/>
      <c r="U22" s="957"/>
      <c r="V22" s="957"/>
      <c r="W22" s="957"/>
      <c r="X22" s="957"/>
      <c r="Y22" s="957"/>
      <c r="Z22" s="957"/>
      <c r="AA22" s="957"/>
      <c r="AB22" s="957"/>
      <c r="AC22" s="957"/>
      <c r="AD22" s="957"/>
    </row>
    <row r="23" spans="1:14" ht="15" customHeight="1">
      <c r="A23" s="147"/>
      <c r="B23" s="96" t="str">
        <f>0!C76</f>
        <v>Diş dibi form mukavemeti</v>
      </c>
      <c r="C23" s="482"/>
      <c r="D23" s="5"/>
      <c r="E23" s="5"/>
      <c r="F23" s="5"/>
      <c r="G23" s="1"/>
      <c r="H23" s="16" t="str">
        <f>B22</f>
        <v>Alın yükü dağılma faktörü</v>
      </c>
      <c r="I23" s="258" t="s">
        <v>217</v>
      </c>
      <c r="J23" s="265" t="s">
        <v>84</v>
      </c>
      <c r="K23" s="13">
        <f>E22</f>
        <v>1.2</v>
      </c>
      <c r="L23" s="354"/>
      <c r="M23" s="1"/>
      <c r="N23" s="1"/>
    </row>
    <row r="24" spans="1:30" ht="15" customHeight="1">
      <c r="A24" s="147"/>
      <c r="B24" s="208" t="str">
        <f>0!C76</f>
        <v>Diş dibi form mukavemeti</v>
      </c>
      <c r="C24" s="496" t="s">
        <v>153</v>
      </c>
      <c r="D24" s="175" t="s">
        <v>52</v>
      </c>
      <c r="E24" s="171">
        <f>E8*E25*E26*E27*E28*E29</f>
        <v>637.7697773674023</v>
      </c>
      <c r="F24" s="172">
        <f>F8*F25*F26*F27*F28*F29</f>
        <v>637.7697773674023</v>
      </c>
      <c r="G24" s="1"/>
      <c r="H24" s="34" t="str">
        <f>0!C75</f>
        <v>Diş yanağı form mukavemeti</v>
      </c>
      <c r="I24" s="256"/>
      <c r="J24" s="5"/>
      <c r="K24" s="97" t="str">
        <f>E6</f>
        <v>Pinyon</v>
      </c>
      <c r="L24" s="97" t="str">
        <f>F6</f>
        <v>Çark</v>
      </c>
      <c r="M24" s="354"/>
      <c r="N24" s="147"/>
      <c r="S24" s="958" t="s">
        <v>218</v>
      </c>
      <c r="T24" s="958"/>
      <c r="U24" s="958"/>
      <c r="V24" s="958"/>
      <c r="W24" s="958"/>
      <c r="X24" s="958"/>
      <c r="Y24" s="958"/>
      <c r="Z24" s="958"/>
      <c r="AA24" s="958"/>
      <c r="AB24" s="958"/>
      <c r="AC24" s="958"/>
      <c r="AD24" s="958"/>
    </row>
    <row r="25" spans="1:30" ht="15" customHeight="1">
      <c r="A25" s="147"/>
      <c r="B25" s="210" t="str">
        <f>0!C116</f>
        <v>Çentik faktörü</v>
      </c>
      <c r="C25" s="251" t="s">
        <v>48</v>
      </c>
      <c r="D25" s="264" t="s">
        <v>84</v>
      </c>
      <c r="E25" s="486">
        <f>AD242</f>
        <v>2</v>
      </c>
      <c r="F25" s="268">
        <f>E25</f>
        <v>2</v>
      </c>
      <c r="G25" s="1"/>
      <c r="H25" s="9" t="str">
        <f>H24</f>
        <v>Diş yanağı form mukavemeti</v>
      </c>
      <c r="I25" s="485" t="s">
        <v>155</v>
      </c>
      <c r="J25" s="157" t="s">
        <v>52</v>
      </c>
      <c r="K25" s="168">
        <f>E9*K26*(K27*K28*K29)*K30*K31</f>
        <v>1231.3638049790654</v>
      </c>
      <c r="L25" s="160">
        <f>F9*L26*(L27*L28*L29)*L30*L31</f>
        <v>1231.3638049790654</v>
      </c>
      <c r="S25" s="958"/>
      <c r="T25" s="958"/>
      <c r="U25" s="958"/>
      <c r="V25" s="958"/>
      <c r="W25" s="958"/>
      <c r="X25" s="958"/>
      <c r="Y25" s="958"/>
      <c r="Z25" s="958"/>
      <c r="AA25" s="958"/>
      <c r="AB25" s="958"/>
      <c r="AC25" s="958"/>
      <c r="AD25" s="958"/>
    </row>
    <row r="26" spans="1:14" ht="15" customHeight="1">
      <c r="A26" s="147"/>
      <c r="B26" s="156" t="str">
        <f>0!C92</f>
        <v>Dayanma süresi faktörü </v>
      </c>
      <c r="C26" s="252" t="s">
        <v>49</v>
      </c>
      <c r="D26" s="264" t="s">
        <v>84</v>
      </c>
      <c r="E26" s="486">
        <f>AD245</f>
        <v>1</v>
      </c>
      <c r="F26" s="268">
        <f>E26</f>
        <v>1</v>
      </c>
      <c r="G26" s="1"/>
      <c r="H26" s="261" t="str">
        <f>B26</f>
        <v>Dayanma süresi faktörü </v>
      </c>
      <c r="I26" s="257" t="s">
        <v>220</v>
      </c>
      <c r="J26" s="264" t="s">
        <v>84</v>
      </c>
      <c r="K26" s="486">
        <f>AD334</f>
        <v>1.2370058841467824</v>
      </c>
      <c r="L26" s="268">
        <f aca="true" t="shared" si="0" ref="L26:L31">K26</f>
        <v>1.2370058841467824</v>
      </c>
      <c r="M26" s="119" t="s">
        <v>219</v>
      </c>
      <c r="N26" s="497">
        <f>Z199</f>
        <v>-0.51</v>
      </c>
    </row>
    <row r="27" spans="1:30" ht="15" customHeight="1">
      <c r="A27" s="147"/>
      <c r="B27" s="210" t="str">
        <f>0!C108</f>
        <v>Göreceli dayanışma faktörü</v>
      </c>
      <c r="C27" s="252" t="s">
        <v>55</v>
      </c>
      <c r="D27" s="264" t="s">
        <v>84</v>
      </c>
      <c r="E27" s="486">
        <f>AD255</f>
        <v>1</v>
      </c>
      <c r="F27" s="268">
        <f>E27</f>
        <v>1</v>
      </c>
      <c r="G27" s="1"/>
      <c r="H27" s="156" t="str">
        <f>0!C110</f>
        <v>Yağlama faktörü</v>
      </c>
      <c r="I27" s="257" t="s">
        <v>222</v>
      </c>
      <c r="J27" s="264" t="s">
        <v>84</v>
      </c>
      <c r="K27" s="486">
        <f>AD341</f>
        <v>1.016700364431487</v>
      </c>
      <c r="L27" s="268">
        <f t="shared" si="0"/>
        <v>1.016700364431487</v>
      </c>
      <c r="M27" s="119" t="s">
        <v>221</v>
      </c>
      <c r="N27" s="498">
        <f>AC199</f>
        <v>-2.5356019834743093</v>
      </c>
      <c r="S27" s="952" t="s">
        <v>216</v>
      </c>
      <c r="T27" s="952"/>
      <c r="U27" s="952"/>
      <c r="V27" s="952"/>
      <c r="W27" s="952"/>
      <c r="X27" s="952"/>
      <c r="Y27" s="952"/>
      <c r="Z27" s="952"/>
      <c r="AA27" s="952"/>
      <c r="AB27" s="952"/>
      <c r="AC27" s="952"/>
      <c r="AD27" s="952"/>
    </row>
    <row r="28" spans="1:14" ht="15" customHeight="1">
      <c r="A28" s="147"/>
      <c r="B28" s="210" t="str">
        <f>0!C107</f>
        <v>Göreceli yüzey faktörü</v>
      </c>
      <c r="C28" s="252" t="s">
        <v>50</v>
      </c>
      <c r="D28" s="264" t="s">
        <v>84</v>
      </c>
      <c r="E28" s="486">
        <f>AD258</f>
        <v>1.0286609312377457</v>
      </c>
      <c r="F28" s="268">
        <f>E28</f>
        <v>1.0286609312377457</v>
      </c>
      <c r="G28" s="1"/>
      <c r="H28" s="156" t="str">
        <f>0!C74</f>
        <v>Hız faktörü</v>
      </c>
      <c r="I28" s="257" t="s">
        <v>224</v>
      </c>
      <c r="J28" s="264" t="s">
        <v>84</v>
      </c>
      <c r="K28" s="486">
        <f>AD353</f>
        <v>0.9613256924306119</v>
      </c>
      <c r="L28" s="268">
        <f t="shared" si="0"/>
        <v>0.9613256924306119</v>
      </c>
      <c r="M28" s="119" t="s">
        <v>223</v>
      </c>
      <c r="N28" s="498">
        <f>2!D27</f>
        <v>14.173576886309293</v>
      </c>
    </row>
    <row r="29" spans="1:14" ht="15" customHeight="1">
      <c r="A29" s="147"/>
      <c r="B29" s="207" t="str">
        <f>0!C77</f>
        <v>Büyüklük faktörü</v>
      </c>
      <c r="C29" s="253" t="s">
        <v>51</v>
      </c>
      <c r="D29" s="265" t="s">
        <v>84</v>
      </c>
      <c r="E29" s="499">
        <f>AD270</f>
        <v>1</v>
      </c>
      <c r="F29" s="13">
        <f>E29</f>
        <v>1</v>
      </c>
      <c r="G29" s="1"/>
      <c r="H29" s="156" t="str">
        <f>0!C106</f>
        <v>Kalite faktörü</v>
      </c>
      <c r="I29" s="257" t="s">
        <v>226</v>
      </c>
      <c r="J29" s="264" t="s">
        <v>84</v>
      </c>
      <c r="K29" s="486">
        <f>AD361</f>
        <v>0.9258878911371474</v>
      </c>
      <c r="L29" s="268">
        <f t="shared" si="0"/>
        <v>0.9258878911371474</v>
      </c>
      <c r="M29" s="119" t="s">
        <v>225</v>
      </c>
      <c r="N29" s="498">
        <f>2!E27</f>
        <v>56.69430754523717</v>
      </c>
    </row>
    <row r="30" spans="1:14" ht="15" customHeight="1">
      <c r="A30" s="147"/>
      <c r="B30" s="34" t="str">
        <f>0!C115</f>
        <v>Malzemenin diş dibi yorulma kırılmasına karşı emniyet katsayısı</v>
      </c>
      <c r="C30" s="482"/>
      <c r="D30" s="5"/>
      <c r="E30" s="5"/>
      <c r="F30" s="5"/>
      <c r="G30" s="1"/>
      <c r="H30" s="156" t="str">
        <f>0!C134</f>
        <v>Malzeme çifti faktörü</v>
      </c>
      <c r="I30" s="257" t="s">
        <v>228</v>
      </c>
      <c r="J30" s="264" t="s">
        <v>84</v>
      </c>
      <c r="K30" s="486">
        <f>AD372</f>
        <v>1</v>
      </c>
      <c r="L30" s="268">
        <f t="shared" si="0"/>
        <v>1</v>
      </c>
      <c r="M30" s="119" t="s">
        <v>227</v>
      </c>
      <c r="N30" s="498">
        <f>Z201</f>
        <v>-0.847471984088718</v>
      </c>
    </row>
    <row r="31" spans="1:14" ht="15" customHeight="1">
      <c r="A31" s="147"/>
      <c r="B31" s="208" t="str">
        <f>0!C132</f>
        <v>Hesapsal Emniyet faktörü</v>
      </c>
      <c r="C31" s="500" t="s">
        <v>156</v>
      </c>
      <c r="D31" s="175" t="s">
        <v>84</v>
      </c>
      <c r="E31" s="216">
        <f>E24/E18</f>
        <v>2.033829083668629</v>
      </c>
      <c r="F31" s="217">
        <f>F24/F18</f>
        <v>1.4313591139214763</v>
      </c>
      <c r="G31" s="1"/>
      <c r="H31" s="207" t="str">
        <f>B29</f>
        <v>Büyüklük faktörü</v>
      </c>
      <c r="I31" s="258" t="s">
        <v>230</v>
      </c>
      <c r="J31" s="265" t="s">
        <v>84</v>
      </c>
      <c r="K31" s="499">
        <f>AD376</f>
        <v>1</v>
      </c>
      <c r="L31" s="13">
        <f t="shared" si="0"/>
        <v>1</v>
      </c>
      <c r="M31" s="119" t="s">
        <v>229</v>
      </c>
      <c r="N31" s="498">
        <f>AC201</f>
        <v>-0.9972661594196277</v>
      </c>
    </row>
    <row r="32" spans="1:19" ht="15" customHeight="1">
      <c r="A32" s="147"/>
      <c r="B32" s="16" t="str">
        <f>0!C67</f>
        <v>Gerekli Emniyet faktörü</v>
      </c>
      <c r="C32" s="501" t="s">
        <v>231</v>
      </c>
      <c r="D32" s="265" t="s">
        <v>84</v>
      </c>
      <c r="E32" s="948">
        <f>'10'!G6</f>
        <v>1.4</v>
      </c>
      <c r="F32" s="949"/>
      <c r="G32" s="1"/>
      <c r="H32" s="34" t="str">
        <f>0!C114</f>
        <v>Malzemenin diş yanağının oyuklaşmaya karşı emniyet katsayısı</v>
      </c>
      <c r="I32" s="256"/>
      <c r="J32" s="81"/>
      <c r="K32" s="5"/>
      <c r="L32" s="5"/>
      <c r="M32" s="354"/>
      <c r="N32" s="354"/>
      <c r="S32" s="468">
        <f>(K20*K21*K22*K23)^0.5</f>
        <v>1.9878279719520788</v>
      </c>
    </row>
    <row r="33" spans="1:12" ht="15" customHeight="1">
      <c r="A33" s="147"/>
      <c r="B33" s="354"/>
      <c r="C33" s="354"/>
      <c r="D33" s="354"/>
      <c r="E33" s="950" t="str">
        <f>IF(Info!I13&gt;2.5,V11,IF(Info!I13&gt;1.5,V10,V9))</f>
        <v>Yeterli</v>
      </c>
      <c r="F33" s="950"/>
      <c r="G33" s="1"/>
      <c r="H33" s="208" t="str">
        <f>B31</f>
        <v>Hesapsal Emniyet faktörü</v>
      </c>
      <c r="I33" s="259" t="s">
        <v>157</v>
      </c>
      <c r="J33" s="264" t="s">
        <v>84</v>
      </c>
      <c r="K33" s="216">
        <f>K25/K19</f>
        <v>0.7601425565331719</v>
      </c>
      <c r="L33" s="217">
        <f>L25/K19</f>
        <v>0.7601425565331719</v>
      </c>
    </row>
    <row r="34" spans="1:12" ht="15" customHeight="1">
      <c r="A34" s="147"/>
      <c r="B34" s="502" t="str">
        <f>0!C50</f>
        <v>Düşünceler :</v>
      </c>
      <c r="C34" s="354"/>
      <c r="D34" s="354"/>
      <c r="E34" s="354"/>
      <c r="F34" s="354"/>
      <c r="H34" s="207" t="str">
        <f>B32</f>
        <v>Gerekli Emniyet faktörü</v>
      </c>
      <c r="I34" s="260" t="s">
        <v>232</v>
      </c>
      <c r="J34" s="265" t="s">
        <v>84</v>
      </c>
      <c r="K34" s="948">
        <f>'10'!G7</f>
        <v>0.8</v>
      </c>
      <c r="L34" s="949"/>
    </row>
    <row r="35" spans="1:13" ht="15" customHeight="1">
      <c r="A35" s="354"/>
      <c r="B35" s="361"/>
      <c r="C35" s="361"/>
      <c r="D35" s="361"/>
      <c r="E35" s="361"/>
      <c r="F35" s="354"/>
      <c r="G35" s="354"/>
      <c r="K35" s="951" t="str">
        <f>IF(Info!I13&gt;2.5,AB11,IF(Info!I13&gt;1.5,AB10,AB9))</f>
        <v>Yetersiz</v>
      </c>
      <c r="L35" s="951"/>
      <c r="M35" s="248"/>
    </row>
    <row r="36" spans="1:7" ht="15" customHeight="1">
      <c r="A36" s="354"/>
      <c r="B36" s="361"/>
      <c r="C36" s="361"/>
      <c r="D36" s="361"/>
      <c r="E36" s="361"/>
      <c r="F36" s="354"/>
      <c r="G36" s="354"/>
    </row>
    <row r="37" spans="1:16" ht="15" customHeight="1">
      <c r="A37" s="354"/>
      <c r="G37" s="1"/>
      <c r="H37" s="1"/>
      <c r="N37" s="354"/>
      <c r="O37" s="147"/>
      <c r="P37" s="147"/>
    </row>
    <row r="38" spans="1:16" ht="15" customHeight="1" thickBot="1">
      <c r="A38" s="354"/>
      <c r="B38" s="354"/>
      <c r="G38" s="1"/>
      <c r="N38" s="354"/>
      <c r="O38" s="147"/>
      <c r="P38" s="147"/>
    </row>
    <row r="39" spans="1:30" ht="19.5" customHeight="1" thickBot="1">
      <c r="A39" s="354"/>
      <c r="B39" s="354"/>
      <c r="G39" s="1"/>
      <c r="N39" s="354"/>
      <c r="O39" s="147"/>
      <c r="P39" s="147"/>
      <c r="T39" s="503" t="str">
        <f>B13</f>
        <v>Dişüstü faktörü</v>
      </c>
      <c r="U39" s="504" t="s">
        <v>233</v>
      </c>
      <c r="Z39" s="546"/>
      <c r="AC39" s="505" t="s">
        <v>234</v>
      </c>
      <c r="AD39" s="506">
        <f>6*AA44*AA45/AA46^2/AA47</f>
        <v>2.1114505116532603</v>
      </c>
    </row>
    <row r="40" spans="1:16" ht="19.5" customHeight="1" thickBot="1">
      <c r="A40" s="354"/>
      <c r="B40" s="354"/>
      <c r="G40" s="1"/>
      <c r="N40" s="354"/>
      <c r="O40" s="147"/>
      <c r="P40" s="147"/>
    </row>
    <row r="41" spans="17:32" ht="19.5" customHeight="1" thickBot="1">
      <c r="Q41" s="355"/>
      <c r="R41" s="355"/>
      <c r="S41" s="507"/>
      <c r="T41" s="508"/>
      <c r="U41" s="357"/>
      <c r="V41" s="357"/>
      <c r="W41" s="357"/>
      <c r="X41" s="357"/>
      <c r="Y41" s="357"/>
      <c r="AC41" s="505" t="s">
        <v>235</v>
      </c>
      <c r="AD41" s="506">
        <f>6*AD44*AD45/AD46^2/AD47</f>
        <v>4.6588960097123575</v>
      </c>
      <c r="AE41" s="357"/>
      <c r="AF41" s="509"/>
    </row>
    <row r="42" spans="17:32" ht="19.5" customHeight="1">
      <c r="Q42" s="510"/>
      <c r="R42" s="510"/>
      <c r="S42" s="511"/>
      <c r="T42" s="507"/>
      <c r="U42" s="510"/>
      <c r="V42" s="510"/>
      <c r="W42" s="510"/>
      <c r="X42" s="512"/>
      <c r="Y42" s="510"/>
      <c r="Z42" s="510"/>
      <c r="AA42" s="507"/>
      <c r="AB42" s="507"/>
      <c r="AC42" s="510"/>
      <c r="AD42" s="510"/>
      <c r="AE42" s="510"/>
      <c r="AF42" s="513"/>
    </row>
    <row r="43" spans="17:32" ht="19.5" customHeight="1">
      <c r="Q43" s="510"/>
      <c r="R43" s="510"/>
      <c r="S43" s="511"/>
      <c r="T43" s="507"/>
      <c r="U43" s="510"/>
      <c r="V43" s="510"/>
      <c r="W43" s="510"/>
      <c r="X43" s="512"/>
      <c r="Y43" s="510"/>
      <c r="Z43" s="510"/>
      <c r="AA43" s="507"/>
      <c r="AB43" s="507"/>
      <c r="AC43" s="510"/>
      <c r="AD43" s="510"/>
      <c r="AE43" s="510"/>
      <c r="AF43" s="513"/>
    </row>
    <row r="44" spans="17:32" ht="19.5" customHeight="1">
      <c r="Q44" s="510"/>
      <c r="R44" s="510"/>
      <c r="S44" s="511"/>
      <c r="T44" s="507"/>
      <c r="U44" s="510"/>
      <c r="V44" s="510"/>
      <c r="W44" s="510"/>
      <c r="X44" s="512"/>
      <c r="Y44" s="510"/>
      <c r="Z44" s="514" t="s">
        <v>236</v>
      </c>
      <c r="AA44" s="515">
        <f>AA57/2*(AA47/AA45-COS(PI()/3-AA55))+0.5*(AA56/AA58-AA54/COS(AA55))</f>
        <v>1.8127183733880325</v>
      </c>
      <c r="AB44" s="507"/>
      <c r="AC44" s="514" t="s">
        <v>237</v>
      </c>
      <c r="AD44" s="516">
        <f>AD57/2*(AD47/AD45-COS(PI()/3-AD55))+0.5*(AD56/AD58-AD54/(COS(AD55)))</f>
        <v>2.0340592163140663</v>
      </c>
      <c r="AE44" s="510"/>
      <c r="AF44" s="513"/>
    </row>
    <row r="45" spans="17:32" ht="19.5" customHeight="1">
      <c r="Q45" s="510"/>
      <c r="R45" s="510"/>
      <c r="S45" s="511"/>
      <c r="T45" s="507"/>
      <c r="U45" s="510"/>
      <c r="V45" s="510"/>
      <c r="W45" s="510"/>
      <c r="X45" s="512"/>
      <c r="Y45" s="510"/>
      <c r="Z45" s="514" t="s">
        <v>238</v>
      </c>
      <c r="AA45" s="515">
        <f>COS(AA60)</f>
        <v>0.816167851095918</v>
      </c>
      <c r="AB45" s="507"/>
      <c r="AC45" s="514" t="s">
        <v>239</v>
      </c>
      <c r="AD45" s="516">
        <f>COS(AD60)</f>
        <v>0.9551891399158023</v>
      </c>
      <c r="AE45" s="510"/>
      <c r="AF45" s="513"/>
    </row>
    <row r="46" spans="17:32" ht="19.5" customHeight="1">
      <c r="Q46" s="510"/>
      <c r="R46" s="510"/>
      <c r="S46" s="511"/>
      <c r="T46" s="507"/>
      <c r="U46" s="510"/>
      <c r="V46" s="510"/>
      <c r="W46" s="510"/>
      <c r="X46" s="512"/>
      <c r="Y46" s="510">
        <f>AA46/2!D7</f>
        <v>0.7050597442535312</v>
      </c>
      <c r="Z46" s="514" t="s">
        <v>240</v>
      </c>
      <c r="AA46" s="515">
        <f>AA57*SIN(PI()/3-AA55)+3^0.5*(AA54/COS(AA55)-AA56/AA58)</f>
        <v>2.115179232760594</v>
      </c>
      <c r="AB46" s="507">
        <f>AD46/2!D7</f>
        <v>0.5439342900772169</v>
      </c>
      <c r="AC46" s="514" t="s">
        <v>241</v>
      </c>
      <c r="AD46" s="516">
        <f>AD57*SIN(PI()/3-AD55)+3^0.5*(AD54/COS(AD55)-AD56/AD58)</f>
        <v>1.6318028702316507</v>
      </c>
      <c r="AE46" s="510"/>
      <c r="AF46" s="513"/>
    </row>
    <row r="47" spans="17:32" ht="19.5" customHeight="1">
      <c r="Q47" s="510"/>
      <c r="R47" s="510"/>
      <c r="S47" s="511"/>
      <c r="T47" s="507"/>
      <c r="U47" s="510"/>
      <c r="V47" s="510"/>
      <c r="W47" s="510"/>
      <c r="X47" s="512"/>
      <c r="Y47" s="510"/>
      <c r="Z47" s="514" t="s">
        <v>242</v>
      </c>
      <c r="AA47" s="515">
        <f>COS(2!D8*PI()/180)</f>
        <v>0.9396926207859084</v>
      </c>
      <c r="AB47" s="507"/>
      <c r="AC47" s="514" t="s">
        <v>242</v>
      </c>
      <c r="AD47" s="516">
        <f>AA47</f>
        <v>0.9396926207859084</v>
      </c>
      <c r="AE47" s="510"/>
      <c r="AF47" s="513"/>
    </row>
    <row r="48" spans="17:32" ht="19.5" customHeight="1">
      <c r="Q48" s="510"/>
      <c r="R48" s="510"/>
      <c r="S48" s="511"/>
      <c r="T48" s="507"/>
      <c r="U48" s="510"/>
      <c r="V48" s="510"/>
      <c r="W48" s="510"/>
      <c r="X48" s="512"/>
      <c r="Y48" s="510"/>
      <c r="Z48" s="510"/>
      <c r="AA48" s="507"/>
      <c r="AB48" s="507"/>
      <c r="AC48" s="510"/>
      <c r="AD48" s="510"/>
      <c r="AE48" s="510"/>
      <c r="AF48" s="513"/>
    </row>
    <row r="49" spans="17:32" ht="19.5" customHeight="1">
      <c r="Q49" s="510"/>
      <c r="R49" s="510"/>
      <c r="S49" s="511"/>
      <c r="T49" s="507"/>
      <c r="U49" s="510"/>
      <c r="V49" s="510"/>
      <c r="W49" s="510"/>
      <c r="X49" s="512"/>
      <c r="Y49" s="510"/>
      <c r="Z49" s="510"/>
      <c r="AA49" s="507"/>
      <c r="AB49" s="507"/>
      <c r="AC49" s="510"/>
      <c r="AD49" s="510"/>
      <c r="AE49" s="510"/>
      <c r="AF49" s="513"/>
    </row>
    <row r="50" spans="17:32" ht="19.5" customHeight="1">
      <c r="Q50" s="510"/>
      <c r="R50" s="510"/>
      <c r="S50" s="511"/>
      <c r="T50" s="507"/>
      <c r="U50" s="510"/>
      <c r="V50" s="510"/>
      <c r="W50" s="510"/>
      <c r="X50" s="512"/>
      <c r="Y50" s="510"/>
      <c r="Z50" s="514" t="s">
        <v>236</v>
      </c>
      <c r="AA50" s="515">
        <f>AA57/2*(AA47/AA45-COS(PI()/3-AA55))+0.5*(AA56/AA58-AA54/COS(AA55))</f>
        <v>1.8127183733880325</v>
      </c>
      <c r="AB50" s="507"/>
      <c r="AC50" s="514" t="s">
        <v>237</v>
      </c>
      <c r="AD50" s="516">
        <f>AD57/2*(AD47/AD45-COS(PI()/3-AD55))+0.5*(AD56/AD58-AD54/(COS(AD55)))</f>
        <v>2.0340592163140663</v>
      </c>
      <c r="AE50" s="510"/>
      <c r="AF50" s="1"/>
    </row>
    <row r="51" spans="17:32" ht="19.5" customHeight="1">
      <c r="Q51" s="510"/>
      <c r="R51" s="510"/>
      <c r="S51" s="511"/>
      <c r="T51" s="507"/>
      <c r="U51" s="510"/>
      <c r="V51" s="510"/>
      <c r="W51" s="510"/>
      <c r="X51" s="512"/>
      <c r="Y51" s="510"/>
      <c r="Z51" s="510"/>
      <c r="AA51" s="507"/>
      <c r="AB51" s="507"/>
      <c r="AC51" s="510"/>
      <c r="AD51" s="510"/>
      <c r="AE51" s="510"/>
      <c r="AF51" s="513"/>
    </row>
    <row r="52" spans="17:32" ht="19.5" customHeight="1">
      <c r="Q52" s="510"/>
      <c r="R52" s="510"/>
      <c r="S52" s="511"/>
      <c r="T52" s="507"/>
      <c r="U52" s="510"/>
      <c r="V52" s="510"/>
      <c r="W52" s="510"/>
      <c r="X52" s="512"/>
      <c r="Y52" s="510"/>
      <c r="Z52" s="510"/>
      <c r="AA52" s="507"/>
      <c r="AB52" s="507"/>
      <c r="AC52" s="510"/>
      <c r="AD52" s="510"/>
      <c r="AE52" s="510"/>
      <c r="AF52" s="513"/>
    </row>
    <row r="53" spans="17:32" ht="19.5" customHeight="1">
      <c r="Q53" s="510"/>
      <c r="R53" s="510"/>
      <c r="S53" s="511"/>
      <c r="T53" s="517"/>
      <c r="U53" s="510"/>
      <c r="V53" s="510"/>
      <c r="W53" s="510"/>
      <c r="X53" s="512"/>
      <c r="Y53" s="510"/>
      <c r="Z53" s="510"/>
      <c r="AA53" s="507"/>
      <c r="AB53" s="507"/>
      <c r="AC53" s="510"/>
      <c r="AD53" s="510"/>
      <c r="AE53" s="510"/>
      <c r="AF53" s="513"/>
    </row>
    <row r="54" spans="17:32" ht="19.5" customHeight="1">
      <c r="Q54" s="510"/>
      <c r="R54" s="510"/>
      <c r="S54" s="416"/>
      <c r="T54" s="507"/>
      <c r="U54" s="510"/>
      <c r="V54" s="510"/>
      <c r="W54" s="510"/>
      <c r="X54" s="512"/>
      <c r="Y54" s="510"/>
      <c r="Z54" s="518" t="s">
        <v>243</v>
      </c>
      <c r="AA54" s="519">
        <f>$Z$197-1</f>
        <v>-0.51</v>
      </c>
      <c r="AB54" s="507"/>
      <c r="AC54" s="518" t="s">
        <v>244</v>
      </c>
      <c r="AD54" s="520">
        <f>$AB$197-1</f>
        <v>-2.5356019834743093</v>
      </c>
      <c r="AE54" s="510"/>
      <c r="AF54" s="513"/>
    </row>
    <row r="55" spans="17:32" ht="19.5" customHeight="1">
      <c r="Q55" s="510"/>
      <c r="R55" s="510"/>
      <c r="S55" s="511"/>
      <c r="T55" s="507"/>
      <c r="U55" s="510"/>
      <c r="V55" s="510"/>
      <c r="W55" s="510"/>
      <c r="X55" s="512"/>
      <c r="Y55" s="510"/>
      <c r="Z55" s="535" t="s">
        <v>245</v>
      </c>
      <c r="AA55" s="521">
        <f>M7</f>
        <v>0.7767422676821852</v>
      </c>
      <c r="AB55" s="507"/>
      <c r="AC55" s="504" t="s">
        <v>246</v>
      </c>
      <c r="AD55" s="522">
        <f>N7</f>
        <v>0.8874152147964818</v>
      </c>
      <c r="AE55" s="510"/>
      <c r="AF55" s="513"/>
    </row>
    <row r="56" spans="17:32" ht="19.5" customHeight="1">
      <c r="Q56" s="510"/>
      <c r="R56" s="510"/>
      <c r="S56" s="511"/>
      <c r="T56" s="517"/>
      <c r="U56" s="510"/>
      <c r="V56" s="510"/>
      <c r="W56" s="510"/>
      <c r="X56" s="512"/>
      <c r="Y56" s="510"/>
      <c r="Z56" s="504" t="s">
        <v>247</v>
      </c>
      <c r="AA56" s="521">
        <f>AB207</f>
        <v>0.75</v>
      </c>
      <c r="AB56" s="507"/>
      <c r="AC56" s="504" t="s">
        <v>247</v>
      </c>
      <c r="AD56" s="522">
        <f>AA56</f>
        <v>0.75</v>
      </c>
      <c r="AE56" s="510"/>
      <c r="AF56" s="513"/>
    </row>
    <row r="57" spans="17:32" ht="19.5" customHeight="1">
      <c r="Q57" s="510"/>
      <c r="R57" s="510"/>
      <c r="S57" s="511"/>
      <c r="T57" s="507"/>
      <c r="U57" s="510"/>
      <c r="V57" s="510"/>
      <c r="W57" s="510"/>
      <c r="X57" s="512"/>
      <c r="Y57" s="510"/>
      <c r="Z57" s="750" t="s">
        <v>248</v>
      </c>
      <c r="AA57" s="751">
        <f>2!D27</f>
        <v>14.173576886309293</v>
      </c>
      <c r="AB57" s="507"/>
      <c r="AC57" s="750" t="s">
        <v>249</v>
      </c>
      <c r="AD57" s="751">
        <f>2!E27</f>
        <v>56.69430754523717</v>
      </c>
      <c r="AE57" s="510"/>
      <c r="AF57" s="513"/>
    </row>
    <row r="58" spans="17:32" ht="19.5" customHeight="1">
      <c r="Q58" s="510"/>
      <c r="R58" s="510"/>
      <c r="S58" s="511"/>
      <c r="T58" s="507"/>
      <c r="U58" s="510"/>
      <c r="V58" s="510"/>
      <c r="W58" s="510"/>
      <c r="X58" s="512"/>
      <c r="Y58" s="510"/>
      <c r="Z58" s="750" t="s">
        <v>558</v>
      </c>
      <c r="AA58" s="751">
        <f>2!D7</f>
        <v>3</v>
      </c>
      <c r="AB58" s="507"/>
      <c r="AC58" s="767" t="s">
        <v>250</v>
      </c>
      <c r="AD58" s="768">
        <f>AA58</f>
        <v>3</v>
      </c>
      <c r="AE58" s="510"/>
      <c r="AF58" s="513"/>
    </row>
    <row r="59" spans="17:32" ht="19.5" customHeight="1">
      <c r="Q59" s="510"/>
      <c r="R59" s="510"/>
      <c r="S59" s="511"/>
      <c r="T59" s="517"/>
      <c r="U59" s="510"/>
      <c r="V59" s="510"/>
      <c r="W59" s="510"/>
      <c r="X59" s="512"/>
      <c r="Y59" s="510"/>
      <c r="Z59" s="510"/>
      <c r="AA59" s="507"/>
      <c r="AB59" s="507"/>
      <c r="AC59" s="510"/>
      <c r="AD59" s="510"/>
      <c r="AE59" s="510"/>
      <c r="AF59" s="513"/>
    </row>
    <row r="60" spans="17:32" ht="19.5" customHeight="1">
      <c r="Q60" s="510"/>
      <c r="R60" s="510"/>
      <c r="S60" s="511"/>
      <c r="T60" s="507"/>
      <c r="U60" s="510"/>
      <c r="V60" s="510"/>
      <c r="W60" s="510"/>
      <c r="X60" s="512"/>
      <c r="Y60" s="510"/>
      <c r="Z60" s="518" t="s">
        <v>251</v>
      </c>
      <c r="AA60" s="519">
        <f>AA62-AA75</f>
        <v>0.61604885641927</v>
      </c>
      <c r="AB60" s="507"/>
      <c r="AC60" s="518" t="s">
        <v>252</v>
      </c>
      <c r="AD60" s="520">
        <f>AD62-AC75</f>
        <v>0.3004982084127181</v>
      </c>
      <c r="AE60" s="510"/>
      <c r="AF60" s="513"/>
    </row>
    <row r="61" spans="17:32" ht="19.5" customHeight="1">
      <c r="Q61" s="510"/>
      <c r="R61" s="510"/>
      <c r="S61" s="511"/>
      <c r="T61" s="507"/>
      <c r="U61" s="510"/>
      <c r="V61" s="510"/>
      <c r="W61" s="510"/>
      <c r="X61" s="512"/>
      <c r="Y61" s="510"/>
      <c r="Z61" s="510"/>
      <c r="AA61" s="507"/>
      <c r="AB61" s="507"/>
      <c r="AC61" s="510"/>
      <c r="AD61" s="510"/>
      <c r="AE61" s="357"/>
      <c r="AF61" s="1"/>
    </row>
    <row r="62" spans="17:32" ht="19.5" customHeight="1">
      <c r="Q62" s="510"/>
      <c r="R62" s="510"/>
      <c r="S62" s="511"/>
      <c r="T62" s="507"/>
      <c r="U62" s="510"/>
      <c r="V62" s="510"/>
      <c r="W62" s="510"/>
      <c r="X62" s="512"/>
      <c r="Y62" s="510"/>
      <c r="Z62" s="504" t="s">
        <v>253</v>
      </c>
      <c r="AA62" s="521">
        <f>ACOS(AA67/AA69)</f>
        <v>0.6542578869495403</v>
      </c>
      <c r="AC62" s="523" t="s">
        <v>254</v>
      </c>
      <c r="AD62" s="522">
        <f>ACOS(AC67/AC69)</f>
        <v>0.31277707981831426</v>
      </c>
      <c r="AE62" s="510"/>
      <c r="AF62" s="513"/>
    </row>
    <row r="63" spans="17:32" ht="19.5" customHeight="1">
      <c r="Q63" s="510"/>
      <c r="R63" s="510"/>
      <c r="S63" s="507"/>
      <c r="T63" s="507"/>
      <c r="U63" s="510"/>
      <c r="V63" s="510"/>
      <c r="W63" s="510"/>
      <c r="X63" s="512"/>
      <c r="Y63" s="510"/>
      <c r="Z63" s="510"/>
      <c r="AA63" s="507"/>
      <c r="AB63" s="507"/>
      <c r="AC63" s="510"/>
      <c r="AD63" s="510"/>
      <c r="AE63" s="510"/>
      <c r="AF63" s="513"/>
    </row>
    <row r="64" spans="17:32" ht="19.5" customHeight="1">
      <c r="Q64" s="510"/>
      <c r="R64" s="510"/>
      <c r="S64" s="507"/>
      <c r="T64" s="507"/>
      <c r="U64" s="510"/>
      <c r="V64" s="510"/>
      <c r="W64" s="510"/>
      <c r="X64" s="512"/>
      <c r="Y64" s="510"/>
      <c r="Z64" s="510"/>
      <c r="AA64" s="507"/>
      <c r="AB64" s="507"/>
      <c r="AC64" s="510"/>
      <c r="AD64" s="510"/>
      <c r="AE64" s="510"/>
      <c r="AF64" s="513"/>
    </row>
    <row r="65" spans="17:32" ht="19.5" customHeight="1">
      <c r="Q65" s="510"/>
      <c r="R65" s="510"/>
      <c r="S65" s="507"/>
      <c r="T65" s="507"/>
      <c r="U65" s="510"/>
      <c r="V65" s="510"/>
      <c r="W65" s="510"/>
      <c r="X65" s="512"/>
      <c r="Y65" s="510"/>
      <c r="Z65" s="510"/>
      <c r="AA65" s="507"/>
      <c r="AB65" s="507"/>
      <c r="AC65" s="510"/>
      <c r="AD65" s="510"/>
      <c r="AE65" s="510"/>
      <c r="AF65" s="513"/>
    </row>
    <row r="66" spans="17:32" ht="19.5" customHeight="1">
      <c r="Q66" s="510"/>
      <c r="R66" s="510"/>
      <c r="S66" s="507"/>
      <c r="T66" s="416"/>
      <c r="U66" s="510"/>
      <c r="V66" s="510"/>
      <c r="W66" s="510"/>
      <c r="X66" s="512"/>
      <c r="Y66" s="510"/>
      <c r="Z66" s="510"/>
      <c r="AA66" s="507"/>
      <c r="AB66" s="507"/>
      <c r="AC66" s="510"/>
      <c r="AD66" s="510"/>
      <c r="AE66" s="510"/>
      <c r="AF66" s="513"/>
    </row>
    <row r="67" spans="17:32" ht="19.5" customHeight="1">
      <c r="Q67" s="510"/>
      <c r="R67" s="510"/>
      <c r="S67" s="507"/>
      <c r="T67" s="507"/>
      <c r="U67" s="510"/>
      <c r="V67" s="510"/>
      <c r="W67" s="510"/>
      <c r="X67" s="512"/>
      <c r="Y67" s="510"/>
      <c r="Z67" s="504" t="s">
        <v>255</v>
      </c>
      <c r="AA67" s="521">
        <f>AA71*AA47</f>
        <v>39.956416830619666</v>
      </c>
      <c r="AB67" s="523" t="s">
        <v>256</v>
      </c>
      <c r="AC67" s="522">
        <f>AC71*AA47</f>
        <v>159.82566732247867</v>
      </c>
      <c r="AD67" s="510"/>
      <c r="AE67" s="510"/>
      <c r="AF67" s="513"/>
    </row>
    <row r="68" spans="17:32" ht="19.5" customHeight="1">
      <c r="Q68" s="510"/>
      <c r="R68" s="510"/>
      <c r="S68" s="416"/>
      <c r="T68" s="507"/>
      <c r="U68" s="510"/>
      <c r="V68" s="510"/>
      <c r="W68" s="510"/>
      <c r="X68" s="512"/>
      <c r="Y68" s="510"/>
      <c r="Z68" s="510"/>
      <c r="AA68" s="507"/>
      <c r="AB68" s="507"/>
      <c r="AC68" s="510"/>
      <c r="AD68" s="510"/>
      <c r="AE68" s="510"/>
      <c r="AF68" s="513"/>
    </row>
    <row r="69" spans="17:32" ht="19.5" customHeight="1">
      <c r="Q69" s="510"/>
      <c r="R69" s="510"/>
      <c r="S69" s="511"/>
      <c r="T69" s="507"/>
      <c r="U69" s="510"/>
      <c r="V69" s="510"/>
      <c r="W69" s="510"/>
      <c r="X69" s="512"/>
      <c r="Y69" s="510"/>
      <c r="Z69" s="504" t="s">
        <v>257</v>
      </c>
      <c r="AA69" s="521">
        <f>AA71+AA72-AA73</f>
        <v>50.3546668874839</v>
      </c>
      <c r="AB69" s="523" t="s">
        <v>258</v>
      </c>
      <c r="AC69" s="522">
        <f>AC71+AC72-AC73</f>
        <v>167.97537450630966</v>
      </c>
      <c r="AD69" s="510"/>
      <c r="AE69" s="510"/>
      <c r="AF69" s="513"/>
    </row>
    <row r="70" spans="17:32" ht="19.5" customHeight="1">
      <c r="Q70" s="510"/>
      <c r="R70" s="510"/>
      <c r="S70" s="511"/>
      <c r="T70" s="507"/>
      <c r="U70" s="510"/>
      <c r="V70" s="510"/>
      <c r="W70" s="510"/>
      <c r="X70" s="512"/>
      <c r="Y70" s="510"/>
      <c r="Z70" s="510"/>
      <c r="AA70" s="507"/>
      <c r="AB70" s="754" t="s">
        <v>259</v>
      </c>
      <c r="AC70" s="755">
        <f>TAN(20*PI()/180)</f>
        <v>0.36397023426620234</v>
      </c>
      <c r="AE70" s="510"/>
      <c r="AF70" s="513"/>
    </row>
    <row r="71" spans="17:32" ht="19.5" customHeight="1">
      <c r="Q71" s="510"/>
      <c r="R71" s="510"/>
      <c r="S71" s="416"/>
      <c r="T71" s="507"/>
      <c r="U71" s="510"/>
      <c r="V71" s="510"/>
      <c r="W71" s="510"/>
      <c r="X71" s="512"/>
      <c r="Y71" s="510"/>
      <c r="Z71" s="504" t="s">
        <v>260</v>
      </c>
      <c r="AA71" s="521">
        <f>AA58*AA57</f>
        <v>42.52073065892788</v>
      </c>
      <c r="AB71" s="523" t="s">
        <v>261</v>
      </c>
      <c r="AC71" s="522">
        <f>AA58*AD57</f>
        <v>170.08292263571153</v>
      </c>
      <c r="AD71" s="510"/>
      <c r="AE71" s="510"/>
      <c r="AF71" s="513"/>
    </row>
    <row r="72" spans="17:32" ht="19.5" customHeight="1">
      <c r="Q72" s="510"/>
      <c r="R72" s="510"/>
      <c r="S72" s="511"/>
      <c r="T72" s="507"/>
      <c r="U72" s="510"/>
      <c r="V72" s="510"/>
      <c r="W72" s="510"/>
      <c r="X72" s="512"/>
      <c r="Y72" s="510"/>
      <c r="Z72" s="750" t="s">
        <v>559</v>
      </c>
      <c r="AA72" s="751">
        <f>2!D31</f>
        <v>46.07787136301398</v>
      </c>
      <c r="AB72" s="750" t="s">
        <v>560</v>
      </c>
      <c r="AC72" s="751">
        <f>2!E31</f>
        <v>150.86819240843002</v>
      </c>
      <c r="AD72" s="510"/>
      <c r="AE72" s="510"/>
      <c r="AF72" s="513"/>
    </row>
    <row r="73" spans="17:32" ht="19.5" customHeight="1">
      <c r="Q73" s="510"/>
      <c r="R73" s="510"/>
      <c r="S73" s="416"/>
      <c r="T73" s="507"/>
      <c r="U73" s="510"/>
      <c r="V73" s="510"/>
      <c r="W73" s="510"/>
      <c r="X73" s="512"/>
      <c r="Y73" s="510"/>
      <c r="Z73" s="750" t="s">
        <v>561</v>
      </c>
      <c r="AA73" s="751">
        <f>2!D30</f>
        <v>38.24393513445797</v>
      </c>
      <c r="AB73" s="750" t="s">
        <v>562</v>
      </c>
      <c r="AC73" s="751">
        <f>2!E30</f>
        <v>152.97574053783188</v>
      </c>
      <c r="AD73" s="510"/>
      <c r="AE73" s="510"/>
      <c r="AF73" s="513"/>
    </row>
    <row r="74" spans="17:32" ht="19.5" customHeight="1">
      <c r="Q74" s="510"/>
      <c r="R74" s="510"/>
      <c r="S74" s="511"/>
      <c r="T74" s="507"/>
      <c r="U74" s="510"/>
      <c r="V74" s="510"/>
      <c r="W74" s="510"/>
      <c r="X74" s="512"/>
      <c r="Y74" s="510"/>
      <c r="Z74" s="750" t="s">
        <v>564</v>
      </c>
      <c r="AA74" s="751">
        <f>2!D29</f>
        <v>0.49</v>
      </c>
      <c r="AB74" s="750" t="s">
        <v>563</v>
      </c>
      <c r="AC74" s="752">
        <f>2!E29</f>
        <v>-1.5356019834743093</v>
      </c>
      <c r="AD74" s="510"/>
      <c r="AE74" s="510"/>
      <c r="AF74" s="513"/>
    </row>
    <row r="75" spans="17:32" ht="19.5" customHeight="1">
      <c r="Q75" s="510"/>
      <c r="R75" s="510"/>
      <c r="S75" s="416"/>
      <c r="T75" s="507"/>
      <c r="U75" s="510"/>
      <c r="V75" s="510"/>
      <c r="W75" s="510"/>
      <c r="X75" s="512"/>
      <c r="Y75" s="510"/>
      <c r="Z75" s="504" t="s">
        <v>265</v>
      </c>
      <c r="AA75" s="521">
        <f>1/AA57*(PI()/2+2*AA74*AC70)+AA77-AA78</f>
        <v>0.03820903053027033</v>
      </c>
      <c r="AB75" s="523" t="s">
        <v>266</v>
      </c>
      <c r="AC75" s="522">
        <f>1/AD57*(PI()/2+2*AC74*AC70)+AA77-AC78</f>
        <v>0.012278871405596109</v>
      </c>
      <c r="AD75" s="510"/>
      <c r="AE75" s="510"/>
      <c r="AF75" s="513"/>
    </row>
    <row r="76" spans="17:32" ht="19.5" customHeight="1">
      <c r="Q76" s="510"/>
      <c r="R76" s="510"/>
      <c r="S76" s="511"/>
      <c r="T76" s="507"/>
      <c r="U76" s="510"/>
      <c r="V76" s="510"/>
      <c r="W76" s="510"/>
      <c r="X76" s="512"/>
      <c r="Y76" s="510"/>
      <c r="Z76" s="510"/>
      <c r="AA76" s="507"/>
      <c r="AB76" s="507"/>
      <c r="AC76" s="510"/>
      <c r="AD76" s="510"/>
      <c r="AE76" s="510"/>
      <c r="AF76" s="513"/>
    </row>
    <row r="77" spans="17:32" ht="19.5" customHeight="1">
      <c r="Q77" s="510"/>
      <c r="R77" s="510"/>
      <c r="S77" s="511"/>
      <c r="T77" s="507"/>
      <c r="U77" s="510"/>
      <c r="V77" s="510"/>
      <c r="W77" s="510"/>
      <c r="X77" s="512"/>
      <c r="Y77" s="510"/>
      <c r="Z77" s="522" t="s">
        <v>267</v>
      </c>
      <c r="AA77" s="525">
        <f>AC70-(PI()*20/180)</f>
        <v>0.014904383867336446</v>
      </c>
      <c r="AB77" s="507"/>
      <c r="AC77" s="510"/>
      <c r="AD77" s="510"/>
      <c r="AE77" s="510"/>
      <c r="AF77" s="513"/>
    </row>
    <row r="78" spans="17:32" ht="19.5" customHeight="1">
      <c r="Q78" s="510"/>
      <c r="R78" s="510"/>
      <c r="S78" s="511"/>
      <c r="T78" s="416"/>
      <c r="U78" s="510"/>
      <c r="V78" s="510"/>
      <c r="W78" s="510"/>
      <c r="X78" s="512"/>
      <c r="Y78" s="510"/>
      <c r="Z78" s="522" t="s">
        <v>268</v>
      </c>
      <c r="AA78" s="525">
        <f>TAN(AA62)-AA62</f>
        <v>0.11268693625482595</v>
      </c>
      <c r="AB78" s="523" t="s">
        <v>269</v>
      </c>
      <c r="AC78" s="524">
        <f>TAN(AD62)-AD62</f>
        <v>0.010615194655210769</v>
      </c>
      <c r="AD78" s="510"/>
      <c r="AE78" s="510"/>
      <c r="AF78" s="513"/>
    </row>
    <row r="79" spans="17:32" ht="19.5" customHeight="1">
      <c r="Q79" s="510"/>
      <c r="R79" s="510"/>
      <c r="S79" s="511"/>
      <c r="T79" s="507"/>
      <c r="U79" s="510"/>
      <c r="V79" s="510"/>
      <c r="W79" s="510"/>
      <c r="X79" s="512"/>
      <c r="Y79" s="510"/>
      <c r="Z79" s="510"/>
      <c r="AA79" s="507"/>
      <c r="AB79" s="507"/>
      <c r="AC79" s="510"/>
      <c r="AD79" s="510"/>
      <c r="AE79" s="510"/>
      <c r="AF79" s="513"/>
    </row>
    <row r="80" spans="17:32" ht="19.5" customHeight="1">
      <c r="Q80" s="510"/>
      <c r="R80" s="510"/>
      <c r="S80" s="511"/>
      <c r="U80" s="510"/>
      <c r="V80" s="510"/>
      <c r="W80" s="510"/>
      <c r="X80" s="512"/>
      <c r="Y80" s="510"/>
      <c r="Z80" s="510"/>
      <c r="AA80" s="507"/>
      <c r="AB80" s="507"/>
      <c r="AC80" s="510"/>
      <c r="AD80" s="510"/>
      <c r="AE80" s="510"/>
      <c r="AF80" s="513"/>
    </row>
    <row r="81" spans="17:32" ht="19.5" customHeight="1">
      <c r="Q81" s="510"/>
      <c r="R81" s="510"/>
      <c r="S81" s="416"/>
      <c r="T81" s="507"/>
      <c r="U81" s="510"/>
      <c r="V81" s="510"/>
      <c r="W81" s="510"/>
      <c r="X81" s="512"/>
      <c r="Y81" s="510"/>
      <c r="Z81" s="510"/>
      <c r="AA81" s="507"/>
      <c r="AB81" s="507"/>
      <c r="AC81" s="510"/>
      <c r="AD81" s="510"/>
      <c r="AE81" s="510"/>
      <c r="AF81" s="513"/>
    </row>
    <row r="82" spans="17:32" ht="19.5" customHeight="1">
      <c r="Q82" s="510"/>
      <c r="R82" s="510"/>
      <c r="T82" s="526" t="str">
        <f>H22</f>
        <v>Yük dağılma faktörü</v>
      </c>
      <c r="U82" s="527"/>
      <c r="V82" s="528" t="s">
        <v>56</v>
      </c>
      <c r="W82" s="510"/>
      <c r="X82" s="512"/>
      <c r="AA82" s="507"/>
      <c r="AE82" s="510"/>
      <c r="AF82" s="513"/>
    </row>
    <row r="83" spans="17:32" ht="19.5" customHeight="1" thickBot="1">
      <c r="Q83" s="510"/>
      <c r="R83" s="510"/>
      <c r="S83" s="511"/>
      <c r="T83" s="507"/>
      <c r="U83" s="510"/>
      <c r="V83" s="510"/>
      <c r="W83" s="529" t="s">
        <v>270</v>
      </c>
      <c r="X83" s="730">
        <f>E7</f>
        <v>7274.3560259137785</v>
      </c>
      <c r="Y83" s="750" t="s">
        <v>271</v>
      </c>
      <c r="Z83" s="751">
        <f>2!E9</f>
        <v>60</v>
      </c>
      <c r="AA83" s="507"/>
      <c r="AB83" s="507"/>
      <c r="AC83" s="510"/>
      <c r="AD83" s="510"/>
      <c r="AE83" s="510"/>
      <c r="AF83" s="513"/>
    </row>
    <row r="84" spans="17:32" ht="19.5" customHeight="1" thickBot="1">
      <c r="Q84" s="510"/>
      <c r="R84" s="510"/>
      <c r="S84" s="511"/>
      <c r="T84" s="507"/>
      <c r="U84" s="510"/>
      <c r="V84" s="510"/>
      <c r="W84" s="504" t="s">
        <v>272</v>
      </c>
      <c r="X84" s="537">
        <f>X83*AA94*AD94</f>
        <v>11443.784468468057</v>
      </c>
      <c r="AA84" s="507"/>
      <c r="AB84" s="507"/>
      <c r="AC84" s="530" t="s">
        <v>273</v>
      </c>
      <c r="AD84" s="531">
        <f>IF(Y86&gt;2,Y86,IF(Y90&lt;2,Y90,"?"))</f>
        <v>2.093154241393768</v>
      </c>
      <c r="AE84" s="520"/>
      <c r="AF84" s="532"/>
    </row>
    <row r="85" spans="17:32" ht="19.5" customHeight="1">
      <c r="Q85" s="510"/>
      <c r="R85" s="510"/>
      <c r="S85" s="511"/>
      <c r="T85" s="521" t="s">
        <v>274</v>
      </c>
      <c r="U85" s="510"/>
      <c r="V85" s="510"/>
      <c r="W85" s="510"/>
      <c r="X85" s="512"/>
      <c r="Y85" s="504"/>
      <c r="Z85" s="522"/>
      <c r="AA85" s="507"/>
      <c r="AB85" s="507"/>
      <c r="AC85" s="510"/>
      <c r="AD85" s="510"/>
      <c r="AE85" s="520"/>
      <c r="AF85" s="532"/>
    </row>
    <row r="86" spans="17:32" ht="19.5" customHeight="1">
      <c r="Q86" s="510"/>
      <c r="R86" s="510"/>
      <c r="S86" s="511"/>
      <c r="T86" s="507"/>
      <c r="U86" s="510"/>
      <c r="X86" s="533" t="s">
        <v>275</v>
      </c>
      <c r="Y86" s="534">
        <f>2*(10*W89/(X84/Z83))^0.5</f>
        <v>2.093154241393768</v>
      </c>
      <c r="AB86" s="507"/>
      <c r="AC86" s="1"/>
      <c r="AD86" s="510"/>
      <c r="AE86" s="520"/>
      <c r="AF86" s="532"/>
    </row>
    <row r="87" spans="17:32" ht="19.5" customHeight="1">
      <c r="Q87" s="510"/>
      <c r="R87" s="510"/>
      <c r="S87" s="511"/>
      <c r="T87" s="507"/>
      <c r="U87" s="510"/>
      <c r="V87" s="504"/>
      <c r="W87" s="522"/>
      <c r="X87" s="533"/>
      <c r="Y87" s="534"/>
      <c r="Z87" s="1"/>
      <c r="AA87" s="1"/>
      <c r="AB87" s="507"/>
      <c r="AC87" s="1"/>
      <c r="AD87" s="510"/>
      <c r="AE87" s="520"/>
      <c r="AF87" s="532"/>
    </row>
    <row r="88" spans="17:32" ht="19.5" customHeight="1">
      <c r="Q88" s="510"/>
      <c r="R88" s="510"/>
      <c r="S88" s="511"/>
      <c r="T88" s="507"/>
      <c r="U88" s="510"/>
      <c r="V88" s="510"/>
      <c r="Z88" s="1"/>
      <c r="AA88" s="1"/>
      <c r="AC88" s="1"/>
      <c r="AD88" s="510"/>
      <c r="AE88" s="520"/>
      <c r="AF88" s="532"/>
    </row>
    <row r="89" spans="17:32" ht="19.5" customHeight="1">
      <c r="Q89" s="510"/>
      <c r="R89" s="510"/>
      <c r="S89" s="511"/>
      <c r="T89" s="521" t="s">
        <v>276</v>
      </c>
      <c r="U89" s="510"/>
      <c r="V89" s="504" t="s">
        <v>277</v>
      </c>
      <c r="W89" s="522">
        <f>AB122</f>
        <v>20.89107999621148</v>
      </c>
      <c r="Z89" s="1"/>
      <c r="AA89" s="1"/>
      <c r="AB89" s="507"/>
      <c r="AC89" s="1"/>
      <c r="AD89" s="510"/>
      <c r="AE89" s="510"/>
      <c r="AF89" s="513"/>
    </row>
    <row r="90" spans="17:32" ht="19.5" customHeight="1">
      <c r="Q90" s="510"/>
      <c r="R90" s="510"/>
      <c r="T90" s="507"/>
      <c r="U90" s="357"/>
      <c r="V90" s="504"/>
      <c r="W90" s="522"/>
      <c r="X90" s="533" t="s">
        <v>278</v>
      </c>
      <c r="Y90" s="534">
        <f>1+10*W89/(X84/Z83)</f>
        <v>2.09532366956618</v>
      </c>
      <c r="Z90" s="1"/>
      <c r="AA90" s="1"/>
      <c r="AC90" s="1"/>
      <c r="AD90" s="510"/>
      <c r="AE90" s="510"/>
      <c r="AF90" s="513"/>
    </row>
    <row r="91" spans="17:32" ht="19.5" customHeight="1">
      <c r="Q91" s="510"/>
      <c r="R91" s="510"/>
      <c r="S91" s="511"/>
      <c r="T91" s="507"/>
      <c r="U91" s="510"/>
      <c r="V91" s="504"/>
      <c r="W91" s="522"/>
      <c r="X91" s="533"/>
      <c r="Y91" s="534"/>
      <c r="Z91" s="1"/>
      <c r="AA91" s="1"/>
      <c r="AB91" s="507"/>
      <c r="AC91" s="1"/>
      <c r="AD91" s="510"/>
      <c r="AE91" s="510"/>
      <c r="AF91" s="513"/>
    </row>
    <row r="92" spans="17:32" ht="19.5" customHeight="1">
      <c r="Q92" s="510"/>
      <c r="R92" s="510"/>
      <c r="S92" s="511"/>
      <c r="T92" s="507"/>
      <c r="U92" s="510"/>
      <c r="V92" s="510"/>
      <c r="Z92" s="1"/>
      <c r="AA92" s="1"/>
      <c r="AB92" s="507"/>
      <c r="AC92" s="510"/>
      <c r="AD92" s="510"/>
      <c r="AE92" s="510"/>
      <c r="AF92" s="513"/>
    </row>
    <row r="93" spans="17:32" ht="19.5" customHeight="1" thickBot="1">
      <c r="Q93" s="510"/>
      <c r="R93" s="510"/>
      <c r="S93" s="511"/>
      <c r="T93" s="507"/>
      <c r="U93" s="510"/>
      <c r="V93" s="510"/>
      <c r="Y93" s="1"/>
      <c r="AB93" s="507"/>
      <c r="AC93" s="510"/>
      <c r="AD93" s="510"/>
      <c r="AE93" s="510"/>
      <c r="AF93" s="513"/>
    </row>
    <row r="94" spans="17:32" ht="19.5" customHeight="1" thickBot="1">
      <c r="Q94" s="510"/>
      <c r="R94" s="510"/>
      <c r="S94" s="511"/>
      <c r="T94" s="727" t="s">
        <v>553</v>
      </c>
      <c r="U94" s="510"/>
      <c r="V94" s="510"/>
      <c r="W94" s="510"/>
      <c r="X94" s="512"/>
      <c r="Z94" s="754" t="s">
        <v>279</v>
      </c>
      <c r="AA94" s="755">
        <f>'11'!O7</f>
        <v>1.5</v>
      </c>
      <c r="AB94" s="507"/>
      <c r="AC94" s="530" t="s">
        <v>280</v>
      </c>
      <c r="AD94" s="531">
        <f>IF(Y103&gt;1,AA100,AA97)</f>
        <v>1.0487786985497483</v>
      </c>
      <c r="AE94" s="510"/>
      <c r="AF94" s="513"/>
    </row>
    <row r="95" spans="17:32" ht="19.5" customHeight="1">
      <c r="Q95" s="510"/>
      <c r="R95" s="510"/>
      <c r="S95" s="511"/>
      <c r="U95" s="510"/>
      <c r="V95" s="510"/>
      <c r="W95" s="510"/>
      <c r="X95" s="512"/>
      <c r="Y95" s="510"/>
      <c r="Z95" s="504" t="s">
        <v>449</v>
      </c>
      <c r="AA95" s="521">
        <f>X83</f>
        <v>7274.3560259137785</v>
      </c>
      <c r="AB95" s="507"/>
      <c r="AC95" s="510"/>
      <c r="AD95" s="510"/>
      <c r="AE95" s="510"/>
      <c r="AF95" s="513"/>
    </row>
    <row r="96" spans="17:32" ht="19.5" customHeight="1">
      <c r="Q96" s="510"/>
      <c r="R96" s="510"/>
      <c r="S96" s="507"/>
      <c r="T96" s="416"/>
      <c r="U96" s="510"/>
      <c r="V96" s="510"/>
      <c r="W96" s="510"/>
      <c r="X96" s="510"/>
      <c r="Y96" s="510"/>
      <c r="Z96" s="510"/>
      <c r="AA96" s="507"/>
      <c r="AB96" s="507"/>
      <c r="AC96" s="510"/>
      <c r="AD96" s="510"/>
      <c r="AE96" s="510"/>
      <c r="AF96" s="513"/>
    </row>
    <row r="97" spans="17:32" ht="19.5" customHeight="1">
      <c r="Q97" s="510"/>
      <c r="R97" s="510"/>
      <c r="T97" s="507"/>
      <c r="U97" s="510"/>
      <c r="V97" s="510"/>
      <c r="W97" s="510"/>
      <c r="X97" s="510"/>
      <c r="Y97" s="510"/>
      <c r="Z97" s="504" t="s">
        <v>281</v>
      </c>
      <c r="AA97" s="521">
        <f>1+(1.123*AA108/AA94/(AA95/AA105)+0.0193)*AA103</f>
        <v>1.0523864506896778</v>
      </c>
      <c r="AB97" s="507"/>
      <c r="AC97" s="510"/>
      <c r="AD97" s="510"/>
      <c r="AE97" s="510"/>
      <c r="AF97" s="513"/>
    </row>
    <row r="98" spans="17:32" ht="19.5" customHeight="1">
      <c r="Q98" s="510"/>
      <c r="R98" s="510"/>
      <c r="S98" s="507"/>
      <c r="T98" s="727" t="s">
        <v>358</v>
      </c>
      <c r="U98" s="510"/>
      <c r="V98" s="510"/>
      <c r="W98" s="510"/>
      <c r="X98" s="510"/>
      <c r="Y98" s="510"/>
      <c r="Z98" s="510"/>
      <c r="AA98" s="521"/>
      <c r="AB98" s="507"/>
      <c r="AC98" s="510"/>
      <c r="AD98" s="510"/>
      <c r="AE98" s="510"/>
      <c r="AF98" s="513"/>
    </row>
    <row r="99" spans="17:32" ht="19.5" customHeight="1">
      <c r="Q99" s="510"/>
      <c r="R99" s="510"/>
      <c r="S99" s="507"/>
      <c r="T99" s="507"/>
      <c r="U99" s="510"/>
      <c r="V99" s="510"/>
      <c r="W99" s="510"/>
      <c r="X99" s="510"/>
      <c r="Y99" s="510"/>
      <c r="Z99" s="510"/>
      <c r="AA99" s="521"/>
      <c r="AB99" s="507"/>
      <c r="AC99" s="510"/>
      <c r="AD99" s="510"/>
      <c r="AE99" s="510"/>
      <c r="AF99" s="513"/>
    </row>
    <row r="100" spans="17:32" ht="19.5" customHeight="1">
      <c r="Q100" s="510"/>
      <c r="R100" s="510"/>
      <c r="T100" s="416"/>
      <c r="U100" s="510"/>
      <c r="V100" s="510"/>
      <c r="W100" s="510"/>
      <c r="X100" s="510"/>
      <c r="Y100" s="510"/>
      <c r="Z100" s="504" t="s">
        <v>282</v>
      </c>
      <c r="AA100" s="796">
        <f>1+(1.123*AA108/AA94/(AA95/AA105)+0.0087)*AA103</f>
        <v>1.0487786985497483</v>
      </c>
      <c r="AB100" s="507"/>
      <c r="AC100" s="510"/>
      <c r="AD100" s="510"/>
      <c r="AE100" s="510"/>
      <c r="AF100" s="513"/>
    </row>
    <row r="101" spans="17:32" ht="19.5" customHeight="1">
      <c r="Q101" s="510"/>
      <c r="R101" s="510"/>
      <c r="S101" s="507"/>
      <c r="T101" s="507"/>
      <c r="U101" s="510"/>
      <c r="V101" s="510"/>
      <c r="W101" s="510"/>
      <c r="Z101" s="510"/>
      <c r="AA101" s="521"/>
      <c r="AB101" s="507"/>
      <c r="AC101" s="510"/>
      <c r="AD101" s="510"/>
      <c r="AE101" s="510"/>
      <c r="AF101" s="513"/>
    </row>
    <row r="102" spans="17:32" ht="19.5" customHeight="1">
      <c r="Q102" s="510"/>
      <c r="R102" s="510"/>
      <c r="S102" s="507"/>
      <c r="T102" s="507"/>
      <c r="U102" s="510"/>
      <c r="V102" s="510"/>
      <c r="W102" s="510"/>
      <c r="Z102" s="510"/>
      <c r="AA102" s="521"/>
      <c r="AB102" s="507"/>
      <c r="AC102" s="510"/>
      <c r="AD102" s="510"/>
      <c r="AE102" s="510"/>
      <c r="AF102" s="513"/>
    </row>
    <row r="103" spans="17:32" ht="19.5" customHeight="1">
      <c r="Q103" s="510"/>
      <c r="R103" s="510"/>
      <c r="S103" s="507"/>
      <c r="T103" s="416"/>
      <c r="U103" s="510"/>
      <c r="V103" s="510"/>
      <c r="W103" s="510"/>
      <c r="X103" s="753" t="s">
        <v>565</v>
      </c>
      <c r="Y103" s="751">
        <f>2!D10</f>
        <v>19.7246</v>
      </c>
      <c r="Z103" s="769" t="s">
        <v>284</v>
      </c>
      <c r="AA103" s="755">
        <f>0.01*Y104*Y105*(AD103^2/(1+AD103^2))^0.5</f>
        <v>0.3403539754650405</v>
      </c>
      <c r="AB103" s="507"/>
      <c r="AC103" s="504" t="s">
        <v>286</v>
      </c>
      <c r="AD103" s="522">
        <f>K10</f>
        <v>4</v>
      </c>
      <c r="AE103" s="510"/>
      <c r="AF103" s="513"/>
    </row>
    <row r="104" spans="17:32" ht="19.5" customHeight="1">
      <c r="Q104" s="510"/>
      <c r="R104" s="510"/>
      <c r="S104" s="507"/>
      <c r="T104" s="507"/>
      <c r="U104" s="510"/>
      <c r="V104" s="510"/>
      <c r="W104" s="510"/>
      <c r="X104" s="750" t="s">
        <v>575</v>
      </c>
      <c r="Y104" s="751">
        <f>2!D6</f>
        <v>12</v>
      </c>
      <c r="Z104" s="510"/>
      <c r="AA104" s="507"/>
      <c r="AB104" s="507"/>
      <c r="AC104" s="510"/>
      <c r="AD104" s="510"/>
      <c r="AE104" s="510"/>
      <c r="AF104" s="513"/>
    </row>
    <row r="105" spans="17:32" ht="19.5" customHeight="1">
      <c r="Q105" s="510"/>
      <c r="R105" s="510"/>
      <c r="S105" s="507"/>
      <c r="T105" s="536"/>
      <c r="U105" s="537"/>
      <c r="V105" s="536"/>
      <c r="W105" s="537"/>
      <c r="X105" s="773" t="s">
        <v>285</v>
      </c>
      <c r="Y105" s="768">
        <f>Y107/60/10^3*PI()*Y106</f>
        <v>2.923573731127591</v>
      </c>
      <c r="Z105" s="754" t="s">
        <v>271</v>
      </c>
      <c r="AA105" s="755">
        <f>Z83</f>
        <v>60</v>
      </c>
      <c r="AD105" s="504"/>
      <c r="AE105" s="510"/>
      <c r="AF105" s="513"/>
    </row>
    <row r="106" spans="17:32" ht="19.5" customHeight="1">
      <c r="Q106" s="510"/>
      <c r="R106" s="510"/>
      <c r="S106" s="507"/>
      <c r="T106" s="507"/>
      <c r="U106" s="510"/>
      <c r="V106" s="510"/>
      <c r="W106" s="148"/>
      <c r="X106" s="754" t="s">
        <v>578</v>
      </c>
      <c r="Y106" s="755">
        <f>AA73</f>
        <v>38.24393513445797</v>
      </c>
      <c r="Z106" s="510"/>
      <c r="AA106" s="507"/>
      <c r="AB106" s="507"/>
      <c r="AC106" s="510"/>
      <c r="AD106" s="504"/>
      <c r="AE106" s="510"/>
      <c r="AF106" s="513"/>
    </row>
    <row r="107" spans="17:32" ht="19.5" customHeight="1">
      <c r="Q107" s="510"/>
      <c r="R107" s="510"/>
      <c r="S107" s="507"/>
      <c r="T107" s="507"/>
      <c r="U107" s="510"/>
      <c r="V107" s="510"/>
      <c r="X107" s="774" t="s">
        <v>576</v>
      </c>
      <c r="Y107" s="755">
        <f>1!F5</f>
        <v>1460</v>
      </c>
      <c r="Z107" s="148"/>
      <c r="AA107" s="148"/>
      <c r="AB107" s="507"/>
      <c r="AC107" s="510"/>
      <c r="AD107" s="510"/>
      <c r="AE107" s="510"/>
      <c r="AF107" s="513"/>
    </row>
    <row r="108" spans="17:32" ht="19.5" customHeight="1">
      <c r="Q108" s="510"/>
      <c r="R108" s="510"/>
      <c r="S108" s="507"/>
      <c r="T108" s="507"/>
      <c r="U108" s="510"/>
      <c r="V108" s="510"/>
      <c r="W108" s="754" t="s">
        <v>3</v>
      </c>
      <c r="X108" s="770">
        <f>1!O22</f>
        <v>8</v>
      </c>
      <c r="Y108" s="510"/>
      <c r="Z108" s="504" t="s">
        <v>287</v>
      </c>
      <c r="AA108" s="521">
        <f>IF(X108&lt;6.5,V110,IF(X108&lt;7.5,W110,IF(X108&lt;8.5,X110,IF(X108&lt;9.5,Y110,IF(X108&lt;10.5,Z110,IF(X108&lt;11.5,AA110,AB110))))))</f>
        <v>21.8</v>
      </c>
      <c r="AB108" s="507"/>
      <c r="AC108" s="510"/>
      <c r="AD108" s="510"/>
      <c r="AE108" s="510"/>
      <c r="AF108" s="513"/>
    </row>
    <row r="109" spans="17:32" ht="19.5" customHeight="1">
      <c r="Q109" s="510"/>
      <c r="R109" s="510"/>
      <c r="S109" s="507"/>
      <c r="T109" s="880" t="s">
        <v>288</v>
      </c>
      <c r="U109" s="880"/>
      <c r="V109" s="437">
        <v>6</v>
      </c>
      <c r="W109" s="437">
        <v>7</v>
      </c>
      <c r="X109" s="437">
        <v>8</v>
      </c>
      <c r="Y109" s="437">
        <v>9</v>
      </c>
      <c r="Z109" s="437">
        <v>10</v>
      </c>
      <c r="AA109" s="538">
        <v>11</v>
      </c>
      <c r="AB109" s="539">
        <v>12</v>
      </c>
      <c r="AC109" s="510"/>
      <c r="AD109" s="510"/>
      <c r="AE109" s="510"/>
      <c r="AF109" s="513"/>
    </row>
    <row r="110" spans="17:32" ht="19.5" customHeight="1">
      <c r="Q110" s="510"/>
      <c r="R110" s="510"/>
      <c r="S110" s="507"/>
      <c r="T110" s="880" t="s">
        <v>289</v>
      </c>
      <c r="U110" s="880"/>
      <c r="V110" s="437">
        <v>8.5</v>
      </c>
      <c r="W110" s="437">
        <v>13.6</v>
      </c>
      <c r="X110" s="437">
        <v>21.8</v>
      </c>
      <c r="Y110" s="437">
        <v>30.7</v>
      </c>
      <c r="Z110" s="437">
        <v>47.7</v>
      </c>
      <c r="AA110" s="538">
        <v>68.2</v>
      </c>
      <c r="AB110" s="539">
        <v>109.1</v>
      </c>
      <c r="AC110" s="510"/>
      <c r="AD110" s="510"/>
      <c r="AE110" s="510"/>
      <c r="AF110" s="513"/>
    </row>
    <row r="111" spans="17:32" ht="19.5" customHeight="1">
      <c r="Q111" s="510"/>
      <c r="R111" s="510"/>
      <c r="S111" s="507"/>
      <c r="T111" s="507"/>
      <c r="U111" s="510"/>
      <c r="V111" s="510"/>
      <c r="W111" s="510"/>
      <c r="X111" s="510"/>
      <c r="Y111" s="510"/>
      <c r="Z111" s="510"/>
      <c r="AA111" s="507"/>
      <c r="AB111" s="507"/>
      <c r="AC111" s="510"/>
      <c r="AD111" s="510"/>
      <c r="AE111" s="510"/>
      <c r="AF111" s="513"/>
    </row>
    <row r="112" spans="17:32" ht="19.5" customHeight="1">
      <c r="Q112" s="510"/>
      <c r="R112" s="510"/>
      <c r="S112" s="507"/>
      <c r="T112" s="507"/>
      <c r="U112" s="510"/>
      <c r="V112" s="510"/>
      <c r="W112" s="504" t="s">
        <v>3</v>
      </c>
      <c r="X112" s="537">
        <f>X108</f>
        <v>8</v>
      </c>
      <c r="Y112" s="148"/>
      <c r="Z112" s="504" t="s">
        <v>290</v>
      </c>
      <c r="AA112" s="521">
        <f>IF(X112&lt;5.5,V114,IF(X112&lt;6.5,W114,IF(X112&lt;7.5,X114,IF(X112&lt;8.5,Y114,IF(X112&lt;9.5,Z114,IF(X112&lt;10.5,AA114,IF(X112&lt;11.5,AB114,AC114)))))))</f>
        <v>2.59</v>
      </c>
      <c r="AD112" s="510"/>
      <c r="AE112" s="510"/>
      <c r="AF112" s="513"/>
    </row>
    <row r="113" spans="17:32" ht="19.5" customHeight="1">
      <c r="Q113" s="510"/>
      <c r="R113" s="510"/>
      <c r="S113" s="507"/>
      <c r="T113" s="910" t="s">
        <v>288</v>
      </c>
      <c r="U113" s="929"/>
      <c r="V113" s="437">
        <v>5</v>
      </c>
      <c r="W113" s="437">
        <v>6</v>
      </c>
      <c r="X113" s="437">
        <v>7</v>
      </c>
      <c r="Y113" s="437">
        <v>8</v>
      </c>
      <c r="Z113" s="437">
        <v>9</v>
      </c>
      <c r="AA113" s="538">
        <v>10</v>
      </c>
      <c r="AB113" s="539">
        <v>11</v>
      </c>
      <c r="AC113" s="437">
        <v>12</v>
      </c>
      <c r="AD113" s="510"/>
      <c r="AE113" s="510"/>
      <c r="AF113" s="513"/>
    </row>
    <row r="114" spans="17:32" ht="19.5" customHeight="1">
      <c r="Q114" s="510"/>
      <c r="R114" s="510"/>
      <c r="S114" s="507"/>
      <c r="T114" s="910" t="s">
        <v>291</v>
      </c>
      <c r="U114" s="929"/>
      <c r="V114" s="540">
        <v>1</v>
      </c>
      <c r="W114" s="437">
        <v>1.32</v>
      </c>
      <c r="X114" s="437">
        <v>1.85</v>
      </c>
      <c r="Y114" s="437">
        <v>2.59</v>
      </c>
      <c r="Z114" s="437">
        <v>4.01</v>
      </c>
      <c r="AA114" s="538">
        <v>6.22</v>
      </c>
      <c r="AB114" s="539">
        <v>9.63</v>
      </c>
      <c r="AC114" s="437">
        <v>14.9</v>
      </c>
      <c r="AD114" s="510"/>
      <c r="AE114" s="510"/>
      <c r="AF114" s="513"/>
    </row>
    <row r="115" spans="17:32" ht="19.5" customHeight="1">
      <c r="Q115" s="510"/>
      <c r="R115" s="510"/>
      <c r="S115" s="507"/>
      <c r="W115" s="510"/>
      <c r="X115" s="510"/>
      <c r="Y115" s="510"/>
      <c r="AB115" s="507"/>
      <c r="AC115" s="510"/>
      <c r="AD115" s="510"/>
      <c r="AE115" s="510"/>
      <c r="AF115" s="513"/>
    </row>
    <row r="116" spans="17:32" ht="19.5" customHeight="1">
      <c r="Q116" s="510"/>
      <c r="R116" s="510"/>
      <c r="S116" s="507"/>
      <c r="W116" s="510"/>
      <c r="X116" s="510"/>
      <c r="Y116" s="510"/>
      <c r="AB116" s="507"/>
      <c r="AC116" s="510"/>
      <c r="AD116" s="510"/>
      <c r="AE116" s="510"/>
      <c r="AF116" s="513"/>
    </row>
    <row r="117" spans="17:32" ht="19.5" customHeight="1">
      <c r="Q117" s="510"/>
      <c r="R117" s="510"/>
      <c r="S117" s="507"/>
      <c r="W117" s="510"/>
      <c r="X117" s="510"/>
      <c r="Y117" s="510"/>
      <c r="AB117" s="507"/>
      <c r="AC117" s="510"/>
      <c r="AD117" s="510"/>
      <c r="AE117" s="510"/>
      <c r="AF117" s="513"/>
    </row>
    <row r="118" spans="17:32" ht="19.5" customHeight="1">
      <c r="Q118" s="510"/>
      <c r="R118" s="510"/>
      <c r="S118" s="507"/>
      <c r="W118" s="510"/>
      <c r="X118" s="510"/>
      <c r="Y118" s="510"/>
      <c r="AB118" s="507"/>
      <c r="AC118" s="510"/>
      <c r="AD118" s="510"/>
      <c r="AE118" s="510"/>
      <c r="AF118" s="513"/>
    </row>
    <row r="119" spans="17:32" ht="19.5" customHeight="1">
      <c r="Q119" s="510"/>
      <c r="R119" s="510"/>
      <c r="S119" s="507"/>
      <c r="W119" s="510"/>
      <c r="X119" s="510"/>
      <c r="Y119" s="510"/>
      <c r="AB119" s="507"/>
      <c r="AC119" s="510"/>
      <c r="AD119" s="510"/>
      <c r="AE119" s="510"/>
      <c r="AF119" s="513"/>
    </row>
    <row r="120" spans="17:32" ht="19.5" customHeight="1">
      <c r="Q120" s="510"/>
      <c r="R120" s="510"/>
      <c r="S120" s="507"/>
      <c r="T120" s="523" t="s">
        <v>292</v>
      </c>
      <c r="U120" s="510" t="s">
        <v>293</v>
      </c>
      <c r="V120" s="510"/>
      <c r="W120" s="754" t="s">
        <v>271</v>
      </c>
      <c r="X120" s="755">
        <f>Z83</f>
        <v>60</v>
      </c>
      <c r="Y120" s="510"/>
      <c r="AA120" s="504" t="s">
        <v>292</v>
      </c>
      <c r="AB120" s="521">
        <f>4.16*AA105^0.14*AA112</f>
        <v>19.113238090083648</v>
      </c>
      <c r="AC120" s="510"/>
      <c r="AD120" s="510"/>
      <c r="AE120" s="510"/>
      <c r="AF120" s="513"/>
    </row>
    <row r="121" spans="17:32" ht="19.5" customHeight="1">
      <c r="Q121" s="510"/>
      <c r="R121" s="510"/>
      <c r="S121" s="507"/>
      <c r="T121" s="523" t="s">
        <v>294</v>
      </c>
      <c r="U121" s="510" t="s">
        <v>295</v>
      </c>
      <c r="V121" s="510"/>
      <c r="W121" s="504" t="s">
        <v>296</v>
      </c>
      <c r="X121" s="521">
        <f>IF(Y123&lt;200,AD127,IF(Y123&lt;1000,AD129,AD131))</f>
        <v>7</v>
      </c>
      <c r="Y121" s="510"/>
      <c r="AA121" s="523" t="s">
        <v>294</v>
      </c>
      <c r="AB121" s="521">
        <f>AB120+1.33*X121</f>
        <v>28.42323809008365</v>
      </c>
      <c r="AC121" s="510"/>
      <c r="AD121" s="510"/>
      <c r="AE121" s="510"/>
      <c r="AF121" s="513"/>
    </row>
    <row r="122" spans="17:32" ht="19.5" customHeight="1">
      <c r="Q122" s="510"/>
      <c r="R122" s="510"/>
      <c r="S122" s="507"/>
      <c r="T122" s="523" t="s">
        <v>297</v>
      </c>
      <c r="U122" s="522" t="s">
        <v>595</v>
      </c>
      <c r="V122" s="541"/>
      <c r="W122" s="542" t="s">
        <v>593</v>
      </c>
      <c r="X122" s="543">
        <f>AE136</f>
        <v>7.532158093872168</v>
      </c>
      <c r="Y122" s="542" t="s">
        <v>594</v>
      </c>
      <c r="Z122" s="543">
        <f>AE137</f>
        <v>7.532158093872168</v>
      </c>
      <c r="AA122" s="504" t="s">
        <v>297</v>
      </c>
      <c r="AB122" s="521">
        <f>AB121-AE136</f>
        <v>20.89107999621148</v>
      </c>
      <c r="AC122" s="504"/>
      <c r="AD122" s="521"/>
      <c r="AE122" s="510"/>
      <c r="AF122" s="513"/>
    </row>
    <row r="123" spans="17:32" ht="19.5" customHeight="1">
      <c r="Q123" s="510"/>
      <c r="R123" s="510"/>
      <c r="S123" s="507"/>
      <c r="T123" s="518" t="s">
        <v>596</v>
      </c>
      <c r="U123" s="586" t="s">
        <v>302</v>
      </c>
      <c r="V123" s="586"/>
      <c r="X123" s="504" t="s">
        <v>303</v>
      </c>
      <c r="Y123" s="537">
        <f>X83/AA105</f>
        <v>121.23926709856298</v>
      </c>
      <c r="Z123" s="523"/>
      <c r="AA123" s="522"/>
      <c r="AB123" s="507"/>
      <c r="AC123" s="510"/>
      <c r="AD123" s="510"/>
      <c r="AE123" s="510"/>
      <c r="AF123" s="513"/>
    </row>
    <row r="124" spans="17:32" ht="19.5" customHeight="1">
      <c r="Q124" s="510"/>
      <c r="R124" s="510"/>
      <c r="S124" s="507"/>
      <c r="T124" s="942"/>
      <c r="U124" s="943"/>
      <c r="V124" s="944"/>
      <c r="W124" s="910" t="s">
        <v>304</v>
      </c>
      <c r="X124" s="935"/>
      <c r="Y124" s="935"/>
      <c r="Z124" s="935"/>
      <c r="AA124" s="935"/>
      <c r="AB124" s="935"/>
      <c r="AC124" s="929"/>
      <c r="AD124" s="510"/>
      <c r="AE124" s="510"/>
      <c r="AF124" s="513"/>
    </row>
    <row r="125" spans="17:32" ht="15" customHeight="1">
      <c r="Q125" s="510"/>
      <c r="R125" s="510"/>
      <c r="S125" s="507"/>
      <c r="T125" s="945"/>
      <c r="U125" s="946"/>
      <c r="V125" s="947"/>
      <c r="W125" s="880" t="s">
        <v>305</v>
      </c>
      <c r="X125" s="544" t="s">
        <v>306</v>
      </c>
      <c r="Y125" s="544" t="s">
        <v>307</v>
      </c>
      <c r="Z125" s="544" t="s">
        <v>308</v>
      </c>
      <c r="AA125" s="544" t="s">
        <v>309</v>
      </c>
      <c r="AB125" s="544" t="s">
        <v>310</v>
      </c>
      <c r="AC125" s="544" t="s">
        <v>311</v>
      </c>
      <c r="AD125" s="510"/>
      <c r="AE125" s="510"/>
      <c r="AF125" s="513"/>
    </row>
    <row r="126" spans="17:32" ht="15" customHeight="1">
      <c r="Q126" s="510"/>
      <c r="R126" s="510"/>
      <c r="S126" s="507"/>
      <c r="T126" s="945"/>
      <c r="U126" s="946"/>
      <c r="V126" s="947"/>
      <c r="W126" s="880"/>
      <c r="X126" s="545" t="s">
        <v>312</v>
      </c>
      <c r="Y126" s="545" t="s">
        <v>313</v>
      </c>
      <c r="Z126" s="545" t="s">
        <v>314</v>
      </c>
      <c r="AA126" s="545" t="s">
        <v>315</v>
      </c>
      <c r="AB126" s="545" t="s">
        <v>316</v>
      </c>
      <c r="AC126" s="545"/>
      <c r="AD126" s="510"/>
      <c r="AE126" s="510"/>
      <c r="AF126" s="513"/>
    </row>
    <row r="127" spans="17:32" ht="15" customHeight="1">
      <c r="Q127" s="510"/>
      <c r="R127" s="510"/>
      <c r="S127" s="507"/>
      <c r="T127" s="937" t="s">
        <v>317</v>
      </c>
      <c r="U127" s="938"/>
      <c r="V127" s="939"/>
      <c r="W127" s="940">
        <v>5</v>
      </c>
      <c r="X127" s="940" t="s">
        <v>318</v>
      </c>
      <c r="Y127" s="940">
        <v>7</v>
      </c>
      <c r="Z127" s="940">
        <v>8</v>
      </c>
      <c r="AA127" s="940">
        <v>10</v>
      </c>
      <c r="AB127" s="940">
        <v>12</v>
      </c>
      <c r="AC127" s="940">
        <v>16</v>
      </c>
      <c r="AD127" s="936">
        <f>IF($X$120&lt;20.1,W127,IF($X$120&lt;40.5,X127,IF($X$120&lt;100.5,Y127,IF($X$120&lt;260.5,Z127,IF($X$120&lt;315.5,AA127,IF($X$120&lt;560.5,AB127,AC127))))))</f>
        <v>7</v>
      </c>
      <c r="AE127" s="510"/>
      <c r="AF127" s="513"/>
    </row>
    <row r="128" spans="17:32" ht="15" customHeight="1">
      <c r="Q128" s="510"/>
      <c r="R128" s="510"/>
      <c r="S128" s="507"/>
      <c r="T128" s="937"/>
      <c r="U128" s="938"/>
      <c r="V128" s="939"/>
      <c r="W128" s="941"/>
      <c r="X128" s="941"/>
      <c r="Y128" s="941"/>
      <c r="Z128" s="941"/>
      <c r="AA128" s="941"/>
      <c r="AB128" s="941"/>
      <c r="AC128" s="941"/>
      <c r="AD128" s="936"/>
      <c r="AE128" s="510"/>
      <c r="AF128" s="513"/>
    </row>
    <row r="129" spans="17:32" ht="15" customHeight="1">
      <c r="Q129" s="510"/>
      <c r="R129" s="510"/>
      <c r="S129" s="507"/>
      <c r="T129" s="937" t="s">
        <v>319</v>
      </c>
      <c r="U129" s="938"/>
      <c r="V129" s="939"/>
      <c r="W129" s="940">
        <v>6</v>
      </c>
      <c r="X129" s="940">
        <v>7</v>
      </c>
      <c r="Y129" s="940">
        <v>8</v>
      </c>
      <c r="Z129" s="940">
        <v>11</v>
      </c>
      <c r="AA129" s="940">
        <v>14</v>
      </c>
      <c r="AB129" s="940">
        <v>18</v>
      </c>
      <c r="AC129" s="940">
        <v>24</v>
      </c>
      <c r="AD129" s="936">
        <f>IF($X$120&lt;20.1,W129,IF($X$120&lt;40.5,X129,IF($X$120&lt;100.5,Y129,IF($X$120&lt;260.5,Z129,IF($X$120&lt;315.5,AA129,IF($X$120&lt;560.5,AB129,AC129))))))</f>
        <v>8</v>
      </c>
      <c r="AE129" s="510"/>
      <c r="AF129" s="513"/>
    </row>
    <row r="130" spans="17:32" ht="15" customHeight="1">
      <c r="Q130" s="510"/>
      <c r="R130" s="510"/>
      <c r="S130" s="507"/>
      <c r="T130" s="937"/>
      <c r="U130" s="938"/>
      <c r="V130" s="939"/>
      <c r="W130" s="941"/>
      <c r="X130" s="941"/>
      <c r="Y130" s="941"/>
      <c r="Z130" s="941"/>
      <c r="AA130" s="941"/>
      <c r="AB130" s="941"/>
      <c r="AC130" s="941"/>
      <c r="AD130" s="936"/>
      <c r="AE130" s="510"/>
      <c r="AF130" s="513"/>
    </row>
    <row r="131" spans="17:32" ht="15" customHeight="1">
      <c r="Q131" s="510"/>
      <c r="R131" s="510"/>
      <c r="S131" s="507"/>
      <c r="T131" s="937" t="s">
        <v>320</v>
      </c>
      <c r="U131" s="938"/>
      <c r="V131" s="939"/>
      <c r="W131" s="940">
        <v>10</v>
      </c>
      <c r="X131" s="940">
        <v>13</v>
      </c>
      <c r="Y131" s="940">
        <v>18</v>
      </c>
      <c r="Z131" s="940">
        <v>25</v>
      </c>
      <c r="AA131" s="940">
        <v>30</v>
      </c>
      <c r="AB131" s="940">
        <v>38</v>
      </c>
      <c r="AC131" s="940">
        <v>50</v>
      </c>
      <c r="AD131" s="936">
        <f>IF($X$120&lt;20.1,W131,IF($X$120&lt;40.5,X131,IF($X$120&lt;100.5,Y131,IF($X$120&lt;260.5,Z131,IF($X$120&lt;315.5,AA131,IF($X$120&lt;560.5,AB131,AC131))))))</f>
        <v>18</v>
      </c>
      <c r="AE131" s="510"/>
      <c r="AF131" s="513"/>
    </row>
    <row r="132" spans="17:32" ht="15" customHeight="1">
      <c r="Q132" s="510"/>
      <c r="R132" s="510"/>
      <c r="S132" s="507"/>
      <c r="T132" s="937"/>
      <c r="U132" s="938"/>
      <c r="V132" s="939"/>
      <c r="W132" s="941"/>
      <c r="X132" s="941"/>
      <c r="Y132" s="941"/>
      <c r="Z132" s="941"/>
      <c r="AA132" s="941"/>
      <c r="AB132" s="941"/>
      <c r="AC132" s="941"/>
      <c r="AD132" s="936"/>
      <c r="AE132" s="510"/>
      <c r="AF132" s="513"/>
    </row>
    <row r="133" spans="17:32" ht="19.5" customHeight="1">
      <c r="Q133" s="510"/>
      <c r="R133" s="510"/>
      <c r="S133" s="507"/>
      <c r="T133" s="507"/>
      <c r="U133" s="510"/>
      <c r="X133" s="510"/>
      <c r="Y133" s="510"/>
      <c r="Z133" s="510"/>
      <c r="AA133" s="507"/>
      <c r="AB133" s="507"/>
      <c r="AE133" s="510"/>
      <c r="AF133" s="513"/>
    </row>
    <row r="134" spans="17:32" ht="19.5" customHeight="1">
      <c r="Q134" s="510"/>
      <c r="R134" s="510"/>
      <c r="T134" s="931" t="s">
        <v>99</v>
      </c>
      <c r="U134" s="931" t="s">
        <v>321</v>
      </c>
      <c r="V134" s="933"/>
      <c r="W134" s="910" t="s">
        <v>322</v>
      </c>
      <c r="X134" s="935"/>
      <c r="Y134" s="929"/>
      <c r="Z134" s="148"/>
      <c r="AA134" s="797" t="s">
        <v>600</v>
      </c>
      <c r="AB134" s="770">
        <f>E9</f>
        <v>1100</v>
      </c>
      <c r="AC134" s="797" t="s">
        <v>601</v>
      </c>
      <c r="AD134" s="770">
        <f>F9</f>
        <v>1100</v>
      </c>
      <c r="AE134" s="510"/>
      <c r="AF134" s="513"/>
    </row>
    <row r="135" spans="17:32" ht="19.5" customHeight="1">
      <c r="Q135" s="510"/>
      <c r="R135" s="510"/>
      <c r="T135" s="932"/>
      <c r="U135" s="932"/>
      <c r="V135" s="934"/>
      <c r="W135" s="437" t="s">
        <v>323</v>
      </c>
      <c r="X135" s="437" t="s">
        <v>324</v>
      </c>
      <c r="Y135" s="437" t="s">
        <v>325</v>
      </c>
      <c r="Z135" s="546" t="s">
        <v>326</v>
      </c>
      <c r="AA135" s="504" t="s">
        <v>327</v>
      </c>
      <c r="AB135" s="521">
        <f>Y105</f>
        <v>2.923573731127591</v>
      </c>
      <c r="AC135" s="546"/>
      <c r="AD135" s="510"/>
      <c r="AE135" s="510"/>
      <c r="AF135" s="513"/>
    </row>
    <row r="136" spans="17:32" ht="19.5" customHeight="1">
      <c r="Q136" s="510"/>
      <c r="R136" s="510"/>
      <c r="T136" s="547">
        <v>400</v>
      </c>
      <c r="U136" s="910" t="s">
        <v>328</v>
      </c>
      <c r="V136" s="929"/>
      <c r="W136" s="437">
        <v>64</v>
      </c>
      <c r="X136" s="437">
        <v>32</v>
      </c>
      <c r="Y136" s="437">
        <v>20</v>
      </c>
      <c r="Z136" s="546">
        <f>AB121</f>
        <v>28.42323809008365</v>
      </c>
      <c r="AA136" s="548">
        <f>0.8*$Z$136</f>
        <v>22.73859047206692</v>
      </c>
      <c r="AB136" s="548">
        <f>0.8*$Z$136</f>
        <v>22.73859047206692</v>
      </c>
      <c r="AC136" s="548">
        <f>0.8*$Z$136</f>
        <v>22.73859047206692</v>
      </c>
      <c r="AD136" s="518" t="s">
        <v>329</v>
      </c>
      <c r="AE136" s="520">
        <f>IF($AB$135&lt;5,T144,IF($AB$135&lt;10,U144,V144))</f>
        <v>7.532158093872168</v>
      </c>
      <c r="AF136" s="513"/>
    </row>
    <row r="137" spans="17:32" ht="19.5" customHeight="1">
      <c r="Q137" s="510"/>
      <c r="R137" s="510"/>
      <c r="T137" s="547">
        <v>500</v>
      </c>
      <c r="U137" s="910" t="s">
        <v>330</v>
      </c>
      <c r="V137" s="929"/>
      <c r="W137" s="437">
        <v>64</v>
      </c>
      <c r="X137" s="437">
        <v>45</v>
      </c>
      <c r="Y137" s="437">
        <v>22</v>
      </c>
      <c r="Z137" s="546">
        <f aca="true" t="shared" si="1" ref="Z137:Z142">Z136</f>
        <v>28.42323809008365</v>
      </c>
      <c r="AA137" s="548">
        <f>0.55*$Z$137</f>
        <v>15.632780949546008</v>
      </c>
      <c r="AB137" s="548">
        <f>0.55*$Z$137</f>
        <v>15.632780949546008</v>
      </c>
      <c r="AC137" s="548">
        <f>0.55*$Z$137</f>
        <v>15.632780949546008</v>
      </c>
      <c r="AD137" s="518" t="s">
        <v>331</v>
      </c>
      <c r="AE137" s="520">
        <f>IF($AB$135&lt;5,T145,IF($AB$135&lt;10,U145,V145))</f>
        <v>7.532158093872168</v>
      </c>
      <c r="AF137" s="513"/>
    </row>
    <row r="138" spans="17:32" ht="19.5" customHeight="1">
      <c r="Q138" s="510"/>
      <c r="R138" s="510"/>
      <c r="T138" s="547">
        <v>600</v>
      </c>
      <c r="U138" s="910" t="s">
        <v>332</v>
      </c>
      <c r="V138" s="929"/>
      <c r="W138" s="437">
        <v>64</v>
      </c>
      <c r="X138" s="437">
        <v>43</v>
      </c>
      <c r="Y138" s="437">
        <v>21</v>
      </c>
      <c r="Z138" s="546">
        <f t="shared" si="1"/>
        <v>28.42323809008365</v>
      </c>
      <c r="AA138" s="548">
        <f>0.534*$Z$138</f>
        <v>15.17800914010467</v>
      </c>
      <c r="AB138" s="548">
        <f>0.534*$Z$138</f>
        <v>15.17800914010467</v>
      </c>
      <c r="AC138" s="548">
        <f>0.534*$Z$138</f>
        <v>15.17800914010467</v>
      </c>
      <c r="AD138" s="510"/>
      <c r="AE138" s="510"/>
      <c r="AF138" s="513"/>
    </row>
    <row r="139" spans="17:32" ht="19.5" customHeight="1">
      <c r="Q139" s="510"/>
      <c r="R139" s="510"/>
      <c r="T139" s="547">
        <v>800</v>
      </c>
      <c r="U139" s="910" t="s">
        <v>333</v>
      </c>
      <c r="V139" s="929"/>
      <c r="W139" s="437">
        <v>64</v>
      </c>
      <c r="X139" s="437">
        <v>32</v>
      </c>
      <c r="Y139" s="437">
        <v>16</v>
      </c>
      <c r="Z139" s="546">
        <f t="shared" si="1"/>
        <v>28.42323809008365</v>
      </c>
      <c r="AA139" s="548">
        <f>0.4*$Z$139</f>
        <v>11.36929523603346</v>
      </c>
      <c r="AB139" s="548">
        <f>0.4*$Z$139</f>
        <v>11.36929523603346</v>
      </c>
      <c r="AC139" s="548">
        <f>0.4*$Z$139</f>
        <v>11.36929523603346</v>
      </c>
      <c r="AD139" s="510"/>
      <c r="AE139" s="510"/>
      <c r="AF139" s="513"/>
    </row>
    <row r="140" spans="17:32" ht="19.5" customHeight="1">
      <c r="Q140" s="510"/>
      <c r="R140" s="510"/>
      <c r="T140" s="547">
        <v>1000</v>
      </c>
      <c r="U140" s="910" t="s">
        <v>334</v>
      </c>
      <c r="V140" s="929"/>
      <c r="W140" s="437">
        <v>64</v>
      </c>
      <c r="X140" s="437">
        <v>26</v>
      </c>
      <c r="Y140" s="437">
        <v>13</v>
      </c>
      <c r="Z140" s="546">
        <f t="shared" si="1"/>
        <v>28.42323809008365</v>
      </c>
      <c r="AA140" s="548">
        <f>0.32*$Z$140</f>
        <v>9.095436188826769</v>
      </c>
      <c r="AB140" s="548">
        <f>0.32*$Z$140</f>
        <v>9.095436188826769</v>
      </c>
      <c r="AC140" s="548">
        <f>0.32*$Z$140</f>
        <v>9.095436188826769</v>
      </c>
      <c r="AD140" s="510"/>
      <c r="AE140" s="510"/>
      <c r="AF140" s="513"/>
    </row>
    <row r="141" spans="17:32" ht="19.5" customHeight="1">
      <c r="Q141" s="510"/>
      <c r="R141" s="510"/>
      <c r="T141" s="547">
        <v>1200</v>
      </c>
      <c r="U141" s="910" t="s">
        <v>335</v>
      </c>
      <c r="V141" s="929"/>
      <c r="W141" s="437">
        <v>64</v>
      </c>
      <c r="X141" s="437">
        <v>21</v>
      </c>
      <c r="Y141" s="437">
        <v>11</v>
      </c>
      <c r="Z141" s="546">
        <f t="shared" si="1"/>
        <v>28.42323809008365</v>
      </c>
      <c r="AA141" s="548">
        <f>0.265*$Z$141</f>
        <v>7.532158093872168</v>
      </c>
      <c r="AB141" s="548">
        <f>0.265*$Z$141</f>
        <v>7.532158093872168</v>
      </c>
      <c r="AC141" s="548">
        <f>0.265*$Z$141</f>
        <v>7.532158093872168</v>
      </c>
      <c r="AD141" s="510"/>
      <c r="AE141" s="510"/>
      <c r="AF141" s="513"/>
    </row>
    <row r="142" spans="17:32" ht="19.5" customHeight="1">
      <c r="Q142" s="510"/>
      <c r="R142" s="510"/>
      <c r="T142" s="551">
        <v>1200</v>
      </c>
      <c r="U142" s="910" t="s">
        <v>336</v>
      </c>
      <c r="V142" s="929"/>
      <c r="W142" s="437">
        <v>6</v>
      </c>
      <c r="X142" s="437">
        <v>6</v>
      </c>
      <c r="Y142" s="437">
        <v>6</v>
      </c>
      <c r="Z142" s="546">
        <f t="shared" si="1"/>
        <v>28.42323809008365</v>
      </c>
      <c r="AA142" s="548">
        <f>0.15*$Z$142</f>
        <v>4.263485713512547</v>
      </c>
      <c r="AB142" s="548">
        <f>0.15*$Z$142</f>
        <v>4.263485713512547</v>
      </c>
      <c r="AC142" s="548">
        <f>0.15*$Z$142</f>
        <v>4.263485713512547</v>
      </c>
      <c r="AD142" s="510"/>
      <c r="AE142" s="510"/>
      <c r="AF142" s="513"/>
    </row>
    <row r="143" spans="17:32" ht="19.5" customHeight="1">
      <c r="Q143" s="510"/>
      <c r="R143" s="510"/>
      <c r="S143" s="507"/>
      <c r="T143" s="507"/>
      <c r="U143" s="510"/>
      <c r="V143" s="510"/>
      <c r="W143" s="510"/>
      <c r="X143" s="510"/>
      <c r="Y143" s="510"/>
      <c r="Z143" s="510"/>
      <c r="AA143" s="507"/>
      <c r="AB143" s="507"/>
      <c r="AC143" s="510"/>
      <c r="AD143" s="510"/>
      <c r="AE143" s="510"/>
      <c r="AF143" s="513"/>
    </row>
    <row r="144" spans="17:32" ht="19.5" customHeight="1">
      <c r="Q144" s="510"/>
      <c r="R144" s="510"/>
      <c r="S144" s="507"/>
      <c r="T144" s="552">
        <f>IF(AB134&lt;T136,W144,IF(AB134&lt;T137,W145,IF(AB134&lt;T138,W146,IF(AB134&lt;T139,AA144,IF(AB134&lt;T140,AA145,IF(AB134&lt;T141,AA146,AA147))))))</f>
        <v>7.532158093872168</v>
      </c>
      <c r="U144" s="552">
        <f>IF($AB$134&lt;$T$136,X144,IF($AB$134&lt;$T$137,X145,IF($AB$134&lt;$T$138,X146,IF($AB$134&lt;$T$139,AB144,IF($AB$134&lt;$T$140,AB145,IF($AB$134&lt;T141,AB146,AB147))))))</f>
        <v>7.532158093872168</v>
      </c>
      <c r="V144" s="552">
        <f>IF($AB$134&lt;$T$136,Y144,IF($AB$134&lt;$T$137,Y145,IF($AB$134&lt;$T$138,Y146,IF($AB$134&lt;$T$139,AC144,IF($AB$134&lt;$T$140,AC145,IF($AB$134&lt;U141,AC146,AC147))))))</f>
        <v>7.532158093872168</v>
      </c>
      <c r="W144" s="553">
        <f>IF(AA136&lt;W136,AA136,W136)</f>
        <v>22.73859047206692</v>
      </c>
      <c r="X144" s="553">
        <f aca="true" t="shared" si="2" ref="W144:Y145">IF(AB136&lt;X136,AB136,X136)</f>
        <v>22.73859047206692</v>
      </c>
      <c r="Y144" s="553">
        <f t="shared" si="2"/>
        <v>20</v>
      </c>
      <c r="Z144" s="510"/>
      <c r="AA144" s="553">
        <f aca="true" t="shared" si="3" ref="AA144:AC147">IF(AA139&lt;W139,AA139,W139)</f>
        <v>11.36929523603346</v>
      </c>
      <c r="AB144" s="553">
        <f t="shared" si="3"/>
        <v>11.36929523603346</v>
      </c>
      <c r="AC144" s="553">
        <f t="shared" si="3"/>
        <v>11.36929523603346</v>
      </c>
      <c r="AD144" s="510"/>
      <c r="AE144" s="510"/>
      <c r="AF144" s="513"/>
    </row>
    <row r="145" spans="17:32" ht="19.5" customHeight="1">
      <c r="Q145" s="510"/>
      <c r="R145" s="510"/>
      <c r="S145" s="507"/>
      <c r="T145" s="546">
        <f>IF($AD$134&lt;$T$136,W144,IF($AD$134&lt;$T$137,W145,IF($AD$134&lt;$T$138,W146,IF($AD$134&lt;$T$139,AA144,IF($AD$134&lt;$T$140,AA145,IF($AD$134&lt;$T$141,AA146,AA147))))))</f>
        <v>7.532158093872168</v>
      </c>
      <c r="U145" s="546">
        <f>IF($AD$134&lt;$T$136,X144,IF($AD$134&lt;$T$137,X145,IF($AD$134&lt;$T$138,X146,IF($AD$134&lt;$T$139,AB144,IF($AD$134&lt;$T$140,AB145,IF($AD$134&lt;$T$141,AB146,AB147))))))</f>
        <v>7.532158093872168</v>
      </c>
      <c r="V145" s="546">
        <f>IF($AD$134&lt;$T$136,Y144,IF($AD$134&lt;$T$137,Y145,IF($AD$134&lt;$T$138,Y146,IF($AD$134&lt;$T$139,AC144,IF($AD$134&lt;$T$140,AC145,IF($AD$134&lt;$T$141,AC146,AC147))))))</f>
        <v>7.532158093872168</v>
      </c>
      <c r="W145" s="553">
        <f t="shared" si="2"/>
        <v>15.632780949546008</v>
      </c>
      <c r="X145" s="553">
        <f t="shared" si="2"/>
        <v>15.632780949546008</v>
      </c>
      <c r="Y145" s="553">
        <f t="shared" si="2"/>
        <v>15.632780949546008</v>
      </c>
      <c r="Z145" s="148"/>
      <c r="AA145" s="553">
        <f t="shared" si="3"/>
        <v>9.095436188826769</v>
      </c>
      <c r="AB145" s="553">
        <f t="shared" si="3"/>
        <v>9.095436188826769</v>
      </c>
      <c r="AC145" s="553">
        <f t="shared" si="3"/>
        <v>9.095436188826769</v>
      </c>
      <c r="AD145" s="510"/>
      <c r="AE145" s="510"/>
      <c r="AF145" s="513"/>
    </row>
    <row r="146" spans="17:32" ht="19.5" customHeight="1">
      <c r="Q146" s="510"/>
      <c r="R146" s="510"/>
      <c r="S146" s="507"/>
      <c r="T146" s="507"/>
      <c r="U146" s="510"/>
      <c r="V146" s="148"/>
      <c r="W146" s="553">
        <f>IF(AA138&lt;W138,AA138,64)</f>
        <v>15.17800914010467</v>
      </c>
      <c r="X146" s="553">
        <f>IF(AB138&lt;X138,AB138,X138)</f>
        <v>15.17800914010467</v>
      </c>
      <c r="Y146" s="553">
        <f>IF(AC138&lt;Y138,AC138,Y138)</f>
        <v>15.17800914010467</v>
      </c>
      <c r="Z146" s="504"/>
      <c r="AA146" s="553">
        <f t="shared" si="3"/>
        <v>7.532158093872168</v>
      </c>
      <c r="AB146" s="553">
        <f t="shared" si="3"/>
        <v>7.532158093872168</v>
      </c>
      <c r="AC146" s="553">
        <f t="shared" si="3"/>
        <v>7.532158093872168</v>
      </c>
      <c r="AD146" s="510"/>
      <c r="AE146" s="510"/>
      <c r="AF146" s="513"/>
    </row>
    <row r="147" spans="17:32" ht="19.5" customHeight="1">
      <c r="Q147" s="510"/>
      <c r="R147" s="510"/>
      <c r="S147" s="507"/>
      <c r="T147" s="507"/>
      <c r="U147" s="510"/>
      <c r="V147" s="148"/>
      <c r="W147" s="148"/>
      <c r="X147" s="148"/>
      <c r="Y147" s="510"/>
      <c r="Z147" s="504"/>
      <c r="AA147" s="553">
        <f t="shared" si="3"/>
        <v>4.263485713512547</v>
      </c>
      <c r="AB147" s="553">
        <f t="shared" si="3"/>
        <v>4.263485713512547</v>
      </c>
      <c r="AC147" s="553">
        <f t="shared" si="3"/>
        <v>4.263485713512547</v>
      </c>
      <c r="AD147" s="510"/>
      <c r="AE147" s="510"/>
      <c r="AF147" s="513"/>
    </row>
    <row r="148" spans="17:32" ht="19.5" customHeight="1">
      <c r="Q148" s="510"/>
      <c r="R148" s="510"/>
      <c r="S148" s="507"/>
      <c r="T148" s="507"/>
      <c r="U148" s="510"/>
      <c r="V148" s="148"/>
      <c r="W148" s="148"/>
      <c r="X148" s="148"/>
      <c r="Y148" s="510"/>
      <c r="Z148" s="504"/>
      <c r="AA148" s="507"/>
      <c r="AB148" s="507"/>
      <c r="AC148" s="510"/>
      <c r="AD148" s="510"/>
      <c r="AE148" s="510"/>
      <c r="AF148" s="513"/>
    </row>
    <row r="149" spans="17:32" ht="19.5" customHeight="1">
      <c r="Q149" s="510"/>
      <c r="R149" s="510"/>
      <c r="S149" s="507"/>
      <c r="T149" s="507"/>
      <c r="U149" s="510"/>
      <c r="V149" s="510"/>
      <c r="W149" s="510"/>
      <c r="X149" s="510"/>
      <c r="Y149" s="510"/>
      <c r="Z149" s="504"/>
      <c r="AA149" s="507"/>
      <c r="AB149" s="507"/>
      <c r="AC149" s="510"/>
      <c r="AD149" s="510"/>
      <c r="AE149" s="510"/>
      <c r="AF149" s="513"/>
    </row>
    <row r="150" spans="17:32" ht="19.5" customHeight="1">
      <c r="Q150" s="510"/>
      <c r="R150" s="510"/>
      <c r="S150" s="507"/>
      <c r="T150" s="507"/>
      <c r="U150" s="510"/>
      <c r="V150" s="510"/>
      <c r="W150" s="510"/>
      <c r="X150" s="504" t="s">
        <v>337</v>
      </c>
      <c r="Y150" s="522">
        <f>AD84</f>
        <v>2.093154241393768</v>
      </c>
      <c r="Z150" s="504" t="s">
        <v>338</v>
      </c>
      <c r="AA150" s="522">
        <f>AA152^2/(1+AA152+AA152^2)</f>
        <v>0.8887654492431607</v>
      </c>
      <c r="AB150" s="507"/>
      <c r="AC150" s="554" t="s">
        <v>339</v>
      </c>
      <c r="AD150" s="555">
        <f>Y150^AA150</f>
        <v>1.9280444899460984</v>
      </c>
      <c r="AE150" s="510"/>
      <c r="AF150" s="513"/>
    </row>
    <row r="151" spans="17:32" ht="19.5" customHeight="1" thickBot="1">
      <c r="Q151" s="510"/>
      <c r="R151" s="510"/>
      <c r="S151" s="507"/>
      <c r="T151" s="507"/>
      <c r="U151" s="510"/>
      <c r="V151" s="510"/>
      <c r="W151" s="510"/>
      <c r="X151" s="504" t="s">
        <v>340</v>
      </c>
      <c r="Y151" s="521">
        <f>AA105</f>
        <v>60</v>
      </c>
      <c r="Z151" s="754" t="s">
        <v>341</v>
      </c>
      <c r="AA151" s="755">
        <f>2.25*AA58</f>
        <v>6.75</v>
      </c>
      <c r="AB151" s="507"/>
      <c r="AC151" s="510"/>
      <c r="AD151" s="510"/>
      <c r="AE151" s="510"/>
      <c r="AF151" s="513"/>
    </row>
    <row r="152" spans="17:32" ht="19.5" customHeight="1" thickBot="1">
      <c r="Q152" s="510"/>
      <c r="R152" s="510"/>
      <c r="S152" s="416"/>
      <c r="T152" s="507"/>
      <c r="U152" s="510"/>
      <c r="V152" s="510"/>
      <c r="W152" s="148"/>
      <c r="X152" s="148"/>
      <c r="Y152" s="148"/>
      <c r="Z152" s="433" t="s">
        <v>342</v>
      </c>
      <c r="AA152" s="522">
        <f>Y151/AA151</f>
        <v>8.88888888888889</v>
      </c>
      <c r="AB152" s="507"/>
      <c r="AC152" s="530" t="s">
        <v>343</v>
      </c>
      <c r="AD152" s="531">
        <f>Y150^AA150</f>
        <v>1.9280444899460984</v>
      </c>
      <c r="AE152" s="510"/>
      <c r="AF152" s="513"/>
    </row>
    <row r="153" spans="17:32" ht="19.5" customHeight="1" thickBot="1">
      <c r="Q153" s="510"/>
      <c r="R153" s="510"/>
      <c r="S153" s="507"/>
      <c r="T153" s="507"/>
      <c r="U153" s="510"/>
      <c r="V153" s="510"/>
      <c r="W153" s="148"/>
      <c r="X153" s="148"/>
      <c r="Y153" s="148"/>
      <c r="Z153" s="148"/>
      <c r="AA153" s="148"/>
      <c r="AB153" s="507"/>
      <c r="AC153" s="510"/>
      <c r="AD153" s="510"/>
      <c r="AE153" s="510"/>
      <c r="AF153" s="513"/>
    </row>
    <row r="154" spans="17:32" ht="19.5" customHeight="1" thickBot="1">
      <c r="Q154" s="510"/>
      <c r="R154" s="510"/>
      <c r="S154" s="507"/>
      <c r="T154" s="507"/>
      <c r="U154" s="510"/>
      <c r="V154" s="510"/>
      <c r="W154" s="510"/>
      <c r="X154" s="510"/>
      <c r="Y154" s="510"/>
      <c r="Z154" s="510"/>
      <c r="AA154" s="507"/>
      <c r="AB154" s="507"/>
      <c r="AC154" s="530" t="s">
        <v>344</v>
      </c>
      <c r="AD154" s="531">
        <f>0.25+0.75/X156</f>
        <v>0.6248924705041469</v>
      </c>
      <c r="AE154" s="510"/>
      <c r="AF154" s="513"/>
    </row>
    <row r="155" spans="17:32" ht="19.5" customHeight="1" thickBot="1">
      <c r="Q155" s="510"/>
      <c r="R155" s="510"/>
      <c r="S155" s="507"/>
      <c r="T155" s="507"/>
      <c r="U155" s="510"/>
      <c r="V155" s="510"/>
      <c r="W155" s="510"/>
      <c r="X155" s="510"/>
      <c r="Y155" s="510"/>
      <c r="Z155" s="510"/>
      <c r="AA155" s="507"/>
      <c r="AB155" s="507"/>
      <c r="AC155" s="510"/>
      <c r="AD155" s="510"/>
      <c r="AE155" s="510"/>
      <c r="AF155" s="513"/>
    </row>
    <row r="156" spans="17:32" ht="19.5" customHeight="1" thickBot="1">
      <c r="Q156" s="510"/>
      <c r="R156" s="510"/>
      <c r="S156" s="507"/>
      <c r="T156" s="507"/>
      <c r="U156" s="510"/>
      <c r="V156" s="510"/>
      <c r="W156" s="753" t="s">
        <v>579</v>
      </c>
      <c r="X156" s="751">
        <f>2!D40</f>
        <v>2.0005736551374773</v>
      </c>
      <c r="AA156" s="558" t="s">
        <v>345</v>
      </c>
      <c r="AB156" s="557">
        <f>AC291</f>
        <v>0.7454899621497447</v>
      </c>
      <c r="AC156" s="530" t="s">
        <v>346</v>
      </c>
      <c r="AD156" s="531">
        <f>IF(AA160&lt;30,Y158,Z158)</f>
        <v>0.8356283333333333</v>
      </c>
      <c r="AE156" s="510"/>
      <c r="AF156" s="513"/>
    </row>
    <row r="157" spans="17:32" ht="19.5" customHeight="1" thickBot="1">
      <c r="Q157" s="510"/>
      <c r="R157" s="510"/>
      <c r="S157" s="507"/>
      <c r="T157" s="507"/>
      <c r="U157" s="510"/>
      <c r="V157" s="510"/>
      <c r="W157" s="559"/>
      <c r="X157" s="559"/>
      <c r="Y157" s="510"/>
      <c r="Z157" s="510"/>
      <c r="AA157" s="507"/>
      <c r="AB157" s="507"/>
      <c r="AC157" s="510"/>
      <c r="AD157" s="510"/>
      <c r="AE157" s="510"/>
      <c r="AF157" s="513"/>
    </row>
    <row r="158" spans="17:32" ht="19.5" customHeight="1" thickBot="1">
      <c r="Q158" s="510"/>
      <c r="R158" s="510"/>
      <c r="S158" s="507"/>
      <c r="T158" s="507"/>
      <c r="U158" s="510"/>
      <c r="V158" s="510"/>
      <c r="W158" s="753" t="s">
        <v>580</v>
      </c>
      <c r="X158" s="795">
        <f>IF(2!D41&gt;=1,1,2!D41)</f>
        <v>1</v>
      </c>
      <c r="Y158" s="510">
        <f>1-X158*AA160/120</f>
        <v>0.8356283333333333</v>
      </c>
      <c r="Z158" s="510">
        <f>1-X158*0.75</f>
        <v>0.25</v>
      </c>
      <c r="AA158" s="507"/>
      <c r="AB158" s="507"/>
      <c r="AC158" s="530" t="s">
        <v>347</v>
      </c>
      <c r="AD158" s="531">
        <f>IF(AA160&gt;1,AE166,AE163)</f>
        <v>1.2</v>
      </c>
      <c r="AE158" s="510"/>
      <c r="AF158" s="513"/>
    </row>
    <row r="159" spans="17:32" ht="19.5" customHeight="1" thickBot="1">
      <c r="Q159" s="510"/>
      <c r="R159" s="510"/>
      <c r="S159" s="507"/>
      <c r="T159" s="507"/>
      <c r="U159" s="510"/>
      <c r="V159" s="510"/>
      <c r="W159" s="510"/>
      <c r="Z159" s="510"/>
      <c r="AA159" s="507"/>
      <c r="AB159" s="507"/>
      <c r="AF159" s="513"/>
    </row>
    <row r="160" spans="17:32" ht="19.5" customHeight="1" thickBot="1">
      <c r="Q160" s="510"/>
      <c r="R160" s="510"/>
      <c r="S160" s="507"/>
      <c r="U160" s="523" t="s">
        <v>348</v>
      </c>
      <c r="V160" s="510">
        <f>AA94*X83/AA105</f>
        <v>181.85890064784448</v>
      </c>
      <c r="W160" s="510"/>
      <c r="X160" s="560" t="str">
        <f>W112</f>
        <v>DIN</v>
      </c>
      <c r="Y160" s="561">
        <f>X112</f>
        <v>8</v>
      </c>
      <c r="Z160" s="556" t="s">
        <v>349</v>
      </c>
      <c r="AA160" s="562">
        <f>Y103</f>
        <v>19.7246</v>
      </c>
      <c r="AB160" s="507"/>
      <c r="AC160" s="530" t="s">
        <v>350</v>
      </c>
      <c r="AD160" s="531">
        <f>IF(AA160&gt;1,AE173,AE170)</f>
        <v>1.2</v>
      </c>
      <c r="AF160" s="513"/>
    </row>
    <row r="161" spans="17:32" ht="19.5" customHeight="1">
      <c r="Q161" s="510"/>
      <c r="R161" s="510"/>
      <c r="S161" s="507" t="s">
        <v>351</v>
      </c>
      <c r="T161" s="507"/>
      <c r="U161" s="930" t="s">
        <v>352</v>
      </c>
      <c r="V161" s="930"/>
      <c r="W161" s="930"/>
      <c r="X161" s="930"/>
      <c r="Y161" s="930"/>
      <c r="Z161" s="930"/>
      <c r="AA161" s="930"/>
      <c r="AB161" s="552" t="s">
        <v>353</v>
      </c>
      <c r="AC161" s="546" t="s">
        <v>354</v>
      </c>
      <c r="AD161" s="546" t="s">
        <v>353</v>
      </c>
      <c r="AE161" s="563"/>
      <c r="AF161" s="513"/>
    </row>
    <row r="162" spans="17:32" ht="19.5" customHeight="1">
      <c r="Q162" s="510"/>
      <c r="R162" s="510"/>
      <c r="S162" s="777">
        <f>1!F37</f>
        <v>3</v>
      </c>
      <c r="T162" s="776" t="s">
        <v>355</v>
      </c>
      <c r="U162" s="565">
        <v>6</v>
      </c>
      <c r="V162" s="565">
        <v>7</v>
      </c>
      <c r="W162" s="565">
        <v>8</v>
      </c>
      <c r="X162" s="565">
        <v>9</v>
      </c>
      <c r="Y162" s="565">
        <v>10</v>
      </c>
      <c r="Z162" s="566">
        <v>11</v>
      </c>
      <c r="AA162" s="565">
        <v>12</v>
      </c>
      <c r="AB162" s="567" t="s">
        <v>356</v>
      </c>
      <c r="AC162" s="510"/>
      <c r="AD162" s="510"/>
      <c r="AE162" s="563"/>
      <c r="AF162" s="513"/>
    </row>
    <row r="163" spans="17:31" ht="19.5" customHeight="1">
      <c r="Q163" s="510"/>
      <c r="R163" s="510"/>
      <c r="S163" s="568"/>
      <c r="T163" s="928" t="s">
        <v>357</v>
      </c>
      <c r="U163" s="548">
        <v>1</v>
      </c>
      <c r="V163" s="548">
        <v>1</v>
      </c>
      <c r="W163" s="548">
        <v>1.1</v>
      </c>
      <c r="X163" s="548">
        <v>1.2</v>
      </c>
      <c r="Y163" s="569">
        <f>IF(1/AD154&lt;1.2,1.2,1/AD154)</f>
        <v>1.6002753228779125</v>
      </c>
      <c r="Z163" s="570"/>
      <c r="AA163" s="570"/>
      <c r="AB163" s="571"/>
      <c r="AC163" s="546">
        <f>IF($Y$160&lt;6.5,U163,IF($Y$160&lt;7.5,V163,IF($Y$160&lt;8.5,W163,IF($Y$160&lt;9.5,X163,Y163))))</f>
        <v>1.1</v>
      </c>
      <c r="AD163" s="546">
        <f>Y163</f>
        <v>1.6002753228779125</v>
      </c>
      <c r="AE163" s="572">
        <f>IF($S$162&gt;2.5,AC165,AD165)</f>
        <v>1.1</v>
      </c>
    </row>
    <row r="164" spans="17:32" ht="19.5" customHeight="1">
      <c r="Q164" s="510"/>
      <c r="R164" s="510"/>
      <c r="S164" s="568"/>
      <c r="T164" s="928"/>
      <c r="U164" s="569">
        <v>1</v>
      </c>
      <c r="V164" s="570"/>
      <c r="W164" s="571"/>
      <c r="X164" s="548">
        <v>1.1</v>
      </c>
      <c r="Y164" s="548">
        <v>1.2</v>
      </c>
      <c r="Z164" s="569">
        <f>IF(1/AD154&lt;1.2,1.2,1/AD154)</f>
        <v>1.6002753228779125</v>
      </c>
      <c r="AA164" s="570"/>
      <c r="AB164" s="571"/>
      <c r="AC164" s="546">
        <f>IF($Y$160&lt;8.5,U164,IF($Y$160&lt;9.5,X164,IF($Y$160&lt;10.5,Y164,Z164)))</f>
        <v>1</v>
      </c>
      <c r="AD164" s="573">
        <f>Z164</f>
        <v>1.6002753228779125</v>
      </c>
      <c r="AE164" s="148"/>
      <c r="AF164" s="563"/>
    </row>
    <row r="165" spans="17:32" ht="19.5" customHeight="1">
      <c r="Q165" s="510"/>
      <c r="R165" s="510"/>
      <c r="S165" s="507"/>
      <c r="T165" s="564" t="s">
        <v>358</v>
      </c>
      <c r="U165" s="570"/>
      <c r="V165" s="570"/>
      <c r="W165" s="570"/>
      <c r="X165" s="570"/>
      <c r="Y165" s="570"/>
      <c r="Z165" s="570"/>
      <c r="AA165" s="570"/>
      <c r="AB165" s="571"/>
      <c r="AC165" s="572">
        <f>IF($V$160&gt;100,AC163,AD163)</f>
        <v>1.1</v>
      </c>
      <c r="AD165" s="572">
        <f>IF($V$160&gt;100,AC164,AD164)</f>
        <v>1</v>
      </c>
      <c r="AE165" s="572"/>
      <c r="AF165" s="563"/>
    </row>
    <row r="166" spans="17:31" ht="19.5" customHeight="1">
      <c r="Q166" s="510"/>
      <c r="R166" s="510"/>
      <c r="S166" s="568"/>
      <c r="T166" s="926" t="s">
        <v>357</v>
      </c>
      <c r="U166" s="574">
        <v>1</v>
      </c>
      <c r="V166" s="574">
        <v>1.1</v>
      </c>
      <c r="W166" s="574">
        <v>1.2</v>
      </c>
      <c r="X166" s="574">
        <v>1.4</v>
      </c>
      <c r="Y166" s="569">
        <f>IF(X156&lt;1.4,1.4,X156)</f>
        <v>2.0005736551374773</v>
      </c>
      <c r="Z166" s="570"/>
      <c r="AA166" s="570"/>
      <c r="AB166" s="571"/>
      <c r="AC166" s="546">
        <f>IF($Y$160&lt;6.5,U166,IF($Y$160&lt;7.5,V166,IF($Y$160&lt;8.5,W166,IF($Y$160&lt;9.5,X166,Y166))))</f>
        <v>1.2</v>
      </c>
      <c r="AD166" s="546">
        <f>Y166</f>
        <v>2.0005736551374773</v>
      </c>
      <c r="AE166" s="572">
        <f>IF($S$162&gt;2.5,AC168,AD168)</f>
        <v>1.2</v>
      </c>
    </row>
    <row r="167" spans="17:32" ht="19.5" customHeight="1">
      <c r="Q167" s="510"/>
      <c r="R167" s="510"/>
      <c r="S167" s="568"/>
      <c r="T167" s="927"/>
      <c r="U167" s="569">
        <v>1</v>
      </c>
      <c r="V167" s="571"/>
      <c r="W167" s="574">
        <v>1.1</v>
      </c>
      <c r="X167" s="574">
        <v>1.2</v>
      </c>
      <c r="Y167" s="574">
        <v>1.4</v>
      </c>
      <c r="Z167" s="569">
        <f>IF(X156&lt;1.4,1.4,X156)</f>
        <v>2.0005736551374773</v>
      </c>
      <c r="AA167" s="570"/>
      <c r="AB167" s="571"/>
      <c r="AC167" s="546">
        <f>IF($Y$160&lt;7.5,U167,IF($Y$160&lt;8.5,W167,IF($Y$160&lt;9.5,X167,IF($Y$160&lt;10.5,Y167,Z167))))</f>
        <v>1.1</v>
      </c>
      <c r="AD167" s="546">
        <f>Z167</f>
        <v>2.0005736551374773</v>
      </c>
      <c r="AE167" s="148"/>
      <c r="AF167" s="563"/>
    </row>
    <row r="168" spans="17:32" ht="19.5" customHeight="1">
      <c r="Q168" s="510"/>
      <c r="R168" s="510"/>
      <c r="S168" s="507"/>
      <c r="T168" s="575"/>
      <c r="U168" s="510"/>
      <c r="V168" s="510"/>
      <c r="W168" s="510"/>
      <c r="X168" s="510"/>
      <c r="Y168" s="510"/>
      <c r="Z168" s="510"/>
      <c r="AA168" s="507"/>
      <c r="AB168" s="507"/>
      <c r="AC168" s="572">
        <f>IF($V$160&gt;100,AC166,AD166)</f>
        <v>1.2</v>
      </c>
      <c r="AD168" s="572">
        <f>IF($V$160&gt;100,AC167,AD167)</f>
        <v>1.1</v>
      </c>
      <c r="AE168" s="572"/>
      <c r="AF168" s="563"/>
    </row>
    <row r="169" spans="17:32" ht="19.5" customHeight="1">
      <c r="Q169" s="510"/>
      <c r="R169" s="510"/>
      <c r="S169" s="507"/>
      <c r="T169" s="564" t="s">
        <v>355</v>
      </c>
      <c r="U169" s="565">
        <v>6</v>
      </c>
      <c r="V169" s="565">
        <v>7</v>
      </c>
      <c r="W169" s="565">
        <v>8</v>
      </c>
      <c r="X169" s="565">
        <v>9</v>
      </c>
      <c r="Y169" s="565">
        <v>10</v>
      </c>
      <c r="Z169" s="566">
        <v>11</v>
      </c>
      <c r="AA169" s="565">
        <v>12</v>
      </c>
      <c r="AB169" s="567" t="s">
        <v>356</v>
      </c>
      <c r="AC169" s="572">
        <f>IF($V$160&gt;100,AC170,AD170)</f>
        <v>1.1</v>
      </c>
      <c r="AD169" s="572">
        <f>IF($V$160&gt;100,AC171,AD171)</f>
        <v>1</v>
      </c>
      <c r="AE169" s="572"/>
      <c r="AF169" s="563"/>
    </row>
    <row r="170" spans="17:31" ht="19.5" customHeight="1">
      <c r="Q170" s="510"/>
      <c r="R170" s="510"/>
      <c r="S170" s="568"/>
      <c r="T170" s="928" t="s">
        <v>359</v>
      </c>
      <c r="U170" s="548">
        <v>1</v>
      </c>
      <c r="V170" s="548">
        <v>1</v>
      </c>
      <c r="W170" s="548">
        <v>1.1</v>
      </c>
      <c r="X170" s="548">
        <v>1.2</v>
      </c>
      <c r="Y170" s="569">
        <f>IF(1/AD154&lt;1.2,1.2,1/AD154)</f>
        <v>1.6002753228779125</v>
      </c>
      <c r="Z170" s="570"/>
      <c r="AA170" s="570"/>
      <c r="AB170" s="571"/>
      <c r="AC170" s="546">
        <f>IF($Y$160&lt;6.5,U170,IF($Y$160&lt;7.5,V170,IF($Y$160&lt;8.5,W170,IF($Y$160&lt;9.5,X170,Y170))))</f>
        <v>1.1</v>
      </c>
      <c r="AD170" s="546">
        <f>Y170</f>
        <v>1.6002753228779125</v>
      </c>
      <c r="AE170" s="572">
        <f>IF($S$162&gt;2.5,AC169,AD169)</f>
        <v>1.1</v>
      </c>
    </row>
    <row r="171" spans="17:32" ht="19.5" customHeight="1">
      <c r="Q171" s="510"/>
      <c r="R171" s="510"/>
      <c r="S171" s="568"/>
      <c r="T171" s="928"/>
      <c r="U171" s="569">
        <v>1</v>
      </c>
      <c r="V171" s="570"/>
      <c r="W171" s="571"/>
      <c r="X171" s="548">
        <v>1.1</v>
      </c>
      <c r="Y171" s="548">
        <v>1.2</v>
      </c>
      <c r="Z171" s="569">
        <f>IF(1/AD154&lt;1.2,1.2,1/AD154)</f>
        <v>1.6002753228779125</v>
      </c>
      <c r="AA171" s="570"/>
      <c r="AB171" s="571"/>
      <c r="AC171" s="546">
        <f>IF($Y$160&lt;8.5,U171,IF($Y$160&lt;9.5,X171,IF($Y$160&lt;10.5,Y171,Z171)))</f>
        <v>1</v>
      </c>
      <c r="AD171" s="546">
        <f>Z171</f>
        <v>1.6002753228779125</v>
      </c>
      <c r="AE171" s="148"/>
      <c r="AF171" s="563"/>
    </row>
    <row r="172" spans="17:32" ht="19.5" customHeight="1">
      <c r="Q172" s="510"/>
      <c r="R172" s="510"/>
      <c r="S172" s="507"/>
      <c r="T172" s="564" t="s">
        <v>358</v>
      </c>
      <c r="U172" s="570"/>
      <c r="V172" s="570"/>
      <c r="W172" s="570"/>
      <c r="X172" s="570"/>
      <c r="Y172" s="570"/>
      <c r="Z172" s="570"/>
      <c r="AA172" s="570"/>
      <c r="AB172" s="571"/>
      <c r="AC172" s="572">
        <f>IF($V$160&gt;100,AC173,AD173)</f>
        <v>1.2</v>
      </c>
      <c r="AD172" s="572">
        <f>IF($V$160&gt;100,AC174,AD174)</f>
        <v>1.1</v>
      </c>
      <c r="AE172" s="572"/>
      <c r="AF172" s="563"/>
    </row>
    <row r="173" spans="17:31" ht="19.5" customHeight="1">
      <c r="Q173" s="510"/>
      <c r="R173" s="510"/>
      <c r="S173" s="568"/>
      <c r="T173" s="928" t="s">
        <v>359</v>
      </c>
      <c r="U173" s="574">
        <v>1</v>
      </c>
      <c r="V173" s="574">
        <v>1.1</v>
      </c>
      <c r="W173" s="574">
        <v>1.2</v>
      </c>
      <c r="X173" s="574">
        <v>1.4</v>
      </c>
      <c r="Y173" s="569">
        <f>IF(X156&lt;1.4,1.4,X156)</f>
        <v>2.0005736551374773</v>
      </c>
      <c r="Z173" s="570"/>
      <c r="AA173" s="570"/>
      <c r="AB173" s="571"/>
      <c r="AC173" s="546">
        <f>IF($Y$160&lt;6.5,U173,IF($Y$160&lt;7.5,V173,IF($Y$160&lt;8.5,W173,IF($Y$160&lt;9.5,X173,Y173))))</f>
        <v>1.2</v>
      </c>
      <c r="AD173" s="546">
        <f>Y173</f>
        <v>2.0005736551374773</v>
      </c>
      <c r="AE173" s="572">
        <f>IF($S$162&gt;2.5,AC172,AD172)</f>
        <v>1.2</v>
      </c>
    </row>
    <row r="174" spans="17:32" ht="19.5" customHeight="1">
      <c r="Q174" s="510"/>
      <c r="R174" s="510"/>
      <c r="S174" s="568"/>
      <c r="T174" s="928"/>
      <c r="U174" s="569">
        <v>1</v>
      </c>
      <c r="V174" s="571"/>
      <c r="W174" s="574">
        <v>1.1</v>
      </c>
      <c r="X174" s="574">
        <v>1.2</v>
      </c>
      <c r="Y174" s="574">
        <v>1.4</v>
      </c>
      <c r="Z174" s="569">
        <f>IF(X156&lt;1.4,1.4,X156)</f>
        <v>2.0005736551374773</v>
      </c>
      <c r="AA174" s="570"/>
      <c r="AB174" s="571"/>
      <c r="AC174" s="546">
        <f>IF($Y$160&lt;7.5,U174,IF($Y$160&lt;8.5,W174,IF($Y$160&lt;9.5,X174,IF($Y$160&lt;10.5,Y174,Z174))))</f>
        <v>1.1</v>
      </c>
      <c r="AD174" s="546">
        <f>Z174</f>
        <v>2.0005736551374773</v>
      </c>
      <c r="AE174" s="148"/>
      <c r="AF174" s="510"/>
    </row>
    <row r="175" spans="17:32" ht="19.5" customHeight="1">
      <c r="Q175" s="510"/>
      <c r="R175" s="510"/>
      <c r="S175" s="507"/>
      <c r="T175" s="507"/>
      <c r="U175" s="510"/>
      <c r="V175" s="510"/>
      <c r="W175" s="510"/>
      <c r="X175" s="510"/>
      <c r="Y175" s="510"/>
      <c r="Z175" s="510"/>
      <c r="AA175" s="507"/>
      <c r="AB175" s="507"/>
      <c r="AC175" s="510"/>
      <c r="AD175" s="510"/>
      <c r="AE175" s="510"/>
      <c r="AF175" s="513"/>
    </row>
    <row r="176" spans="17:32" ht="19.5" customHeight="1" thickBot="1">
      <c r="Q176" s="510"/>
      <c r="R176" s="510"/>
      <c r="S176" s="507"/>
      <c r="T176" s="507"/>
      <c r="U176" s="510"/>
      <c r="V176" s="510"/>
      <c r="W176" s="510"/>
      <c r="X176" s="510"/>
      <c r="Y176" s="510"/>
      <c r="Z176" s="510"/>
      <c r="AA176" s="507"/>
      <c r="AB176" s="507"/>
      <c r="AC176" s="510"/>
      <c r="AD176" s="510"/>
      <c r="AE176" s="510"/>
      <c r="AF176" s="513"/>
    </row>
    <row r="177" spans="17:32" ht="19.5" customHeight="1">
      <c r="Q177" s="510"/>
      <c r="R177" s="510"/>
      <c r="S177" s="912"/>
      <c r="T177" s="916"/>
      <c r="U177" s="913"/>
      <c r="V177" s="912" t="s">
        <v>360</v>
      </c>
      <c r="W177" s="916"/>
      <c r="X177" s="916"/>
      <c r="Y177" s="916"/>
      <c r="Z177" s="916"/>
      <c r="AA177" s="916"/>
      <c r="AB177" s="916"/>
      <c r="AC177" s="916"/>
      <c r="AD177" s="913"/>
      <c r="AE177" s="510"/>
      <c r="AF177" s="513"/>
    </row>
    <row r="178" spans="17:32" ht="19.5" customHeight="1">
      <c r="Q178" s="510"/>
      <c r="R178" s="510"/>
      <c r="S178" s="921"/>
      <c r="T178" s="924"/>
      <c r="U178" s="925"/>
      <c r="V178" s="921" t="s">
        <v>352</v>
      </c>
      <c r="W178" s="922"/>
      <c r="X178" s="922"/>
      <c r="Y178" s="922"/>
      <c r="Z178" s="922"/>
      <c r="AA178" s="922"/>
      <c r="AB178" s="922"/>
      <c r="AC178" s="923"/>
      <c r="AD178" s="924" t="s">
        <v>361</v>
      </c>
      <c r="AE178" s="510"/>
      <c r="AF178" s="513"/>
    </row>
    <row r="179" spans="17:32" ht="19.5" customHeight="1">
      <c r="Q179" s="510"/>
      <c r="R179" s="510"/>
      <c r="S179" s="921" t="s">
        <v>362</v>
      </c>
      <c r="T179" s="924"/>
      <c r="U179" s="925"/>
      <c r="V179" s="579"/>
      <c r="W179" s="579"/>
      <c r="X179" s="579"/>
      <c r="Y179" s="579"/>
      <c r="Z179" s="579"/>
      <c r="AA179" s="580"/>
      <c r="AB179" s="578"/>
      <c r="AC179" s="579"/>
      <c r="AD179" s="924"/>
      <c r="AE179" s="510"/>
      <c r="AF179" s="513"/>
    </row>
    <row r="180" spans="17:32" ht="19.5" customHeight="1" thickBot="1">
      <c r="Q180" s="510"/>
      <c r="R180" s="510"/>
      <c r="S180" s="914" t="s">
        <v>363</v>
      </c>
      <c r="T180" s="917"/>
      <c r="U180" s="915"/>
      <c r="V180" s="583">
        <v>6</v>
      </c>
      <c r="W180" s="583">
        <v>7</v>
      </c>
      <c r="X180" s="583">
        <v>8</v>
      </c>
      <c r="Y180" s="583">
        <v>9</v>
      </c>
      <c r="Z180" s="583">
        <v>10</v>
      </c>
      <c r="AA180" s="577">
        <v>11</v>
      </c>
      <c r="AB180" s="582"/>
      <c r="AC180" s="583">
        <v>12</v>
      </c>
      <c r="AD180" s="583" t="s">
        <v>364</v>
      </c>
      <c r="AE180" s="510"/>
      <c r="AF180" s="513"/>
    </row>
    <row r="181" spans="17:32" ht="19.5" customHeight="1">
      <c r="Q181" s="510"/>
      <c r="R181" s="510"/>
      <c r="S181" s="912" t="s">
        <v>365</v>
      </c>
      <c r="T181" s="916" t="s">
        <v>366</v>
      </c>
      <c r="U181" s="576" t="s">
        <v>54</v>
      </c>
      <c r="V181" s="912" t="s">
        <v>367</v>
      </c>
      <c r="W181" s="913"/>
      <c r="X181" s="919" t="s">
        <v>368</v>
      </c>
      <c r="Y181" s="919" t="s">
        <v>369</v>
      </c>
      <c r="Z181" s="912" t="s">
        <v>370</v>
      </c>
      <c r="AA181" s="916"/>
      <c r="AB181" s="916"/>
      <c r="AC181" s="916"/>
      <c r="AD181" s="913"/>
      <c r="AE181" s="510"/>
      <c r="AF181" s="513"/>
    </row>
    <row r="182" spans="17:32" ht="19.5" customHeight="1" thickBot="1">
      <c r="Q182" s="510"/>
      <c r="R182" s="510"/>
      <c r="S182" s="921"/>
      <c r="T182" s="917"/>
      <c r="U182" s="427" t="s">
        <v>371</v>
      </c>
      <c r="V182" s="914"/>
      <c r="W182" s="915"/>
      <c r="X182" s="920"/>
      <c r="Y182" s="920"/>
      <c r="Z182" s="914" t="s">
        <v>372</v>
      </c>
      <c r="AA182" s="917"/>
      <c r="AB182" s="917"/>
      <c r="AC182" s="917"/>
      <c r="AD182" s="915"/>
      <c r="AE182" s="510"/>
      <c r="AF182" s="513"/>
    </row>
    <row r="183" spans="17:32" ht="19.5" customHeight="1">
      <c r="Q183" s="510"/>
      <c r="R183" s="510"/>
      <c r="S183" s="921"/>
      <c r="T183" s="916" t="s">
        <v>373</v>
      </c>
      <c r="U183" s="576" t="s">
        <v>54</v>
      </c>
      <c r="V183" s="919" t="s">
        <v>367</v>
      </c>
      <c r="W183" s="919" t="s">
        <v>368</v>
      </c>
      <c r="X183" s="919" t="s">
        <v>369</v>
      </c>
      <c r="Y183" s="919" t="s">
        <v>374</v>
      </c>
      <c r="Z183" s="912" t="s">
        <v>375</v>
      </c>
      <c r="AA183" s="916"/>
      <c r="AB183" s="916"/>
      <c r="AC183" s="916"/>
      <c r="AD183" s="913"/>
      <c r="AE183" s="510"/>
      <c r="AF183" s="513"/>
    </row>
    <row r="184" spans="17:32" ht="19.5" customHeight="1" thickBot="1">
      <c r="Q184" s="510"/>
      <c r="R184" s="510"/>
      <c r="S184" s="914"/>
      <c r="T184" s="917"/>
      <c r="U184" s="427" t="s">
        <v>371</v>
      </c>
      <c r="V184" s="920"/>
      <c r="W184" s="920"/>
      <c r="X184" s="920"/>
      <c r="Y184" s="920"/>
      <c r="Z184" s="914"/>
      <c r="AA184" s="917"/>
      <c r="AB184" s="917"/>
      <c r="AC184" s="917"/>
      <c r="AD184" s="915"/>
      <c r="AE184" s="510"/>
      <c r="AF184" s="513"/>
    </row>
    <row r="185" spans="17:32" ht="19.5" customHeight="1">
      <c r="Q185" s="510"/>
      <c r="R185" s="510"/>
      <c r="S185" s="912" t="s">
        <v>376</v>
      </c>
      <c r="T185" s="916" t="s">
        <v>366</v>
      </c>
      <c r="U185" s="576" t="s">
        <v>54</v>
      </c>
      <c r="V185" s="912" t="s">
        <v>367</v>
      </c>
      <c r="W185" s="916"/>
      <c r="X185" s="913"/>
      <c r="Y185" s="919" t="s">
        <v>368</v>
      </c>
      <c r="Z185" s="912" t="s">
        <v>369</v>
      </c>
      <c r="AA185" s="913"/>
      <c r="AB185" s="912" t="s">
        <v>377</v>
      </c>
      <c r="AC185" s="916"/>
      <c r="AD185" s="913"/>
      <c r="AE185" s="510"/>
      <c r="AF185" s="513"/>
    </row>
    <row r="186" spans="17:32" ht="19.5" customHeight="1" thickBot="1">
      <c r="Q186" s="510"/>
      <c r="R186" s="510"/>
      <c r="S186" s="921"/>
      <c r="T186" s="917"/>
      <c r="U186" s="427" t="s">
        <v>371</v>
      </c>
      <c r="V186" s="914"/>
      <c r="W186" s="917"/>
      <c r="X186" s="915"/>
      <c r="Y186" s="920"/>
      <c r="Z186" s="914"/>
      <c r="AA186" s="915"/>
      <c r="AB186" s="914" t="s">
        <v>378</v>
      </c>
      <c r="AC186" s="917"/>
      <c r="AD186" s="915"/>
      <c r="AE186" s="510"/>
      <c r="AF186" s="513"/>
    </row>
    <row r="187" spans="17:32" ht="19.5" customHeight="1">
      <c r="Q187" s="510"/>
      <c r="R187" s="510"/>
      <c r="S187" s="921"/>
      <c r="T187" s="916" t="s">
        <v>373</v>
      </c>
      <c r="U187" s="576" t="s">
        <v>54</v>
      </c>
      <c r="V187" s="912" t="s">
        <v>367</v>
      </c>
      <c r="W187" s="913"/>
      <c r="X187" s="919" t="s">
        <v>368</v>
      </c>
      <c r="Y187" s="919" t="s">
        <v>369</v>
      </c>
      <c r="Z187" s="912" t="s">
        <v>374</v>
      </c>
      <c r="AA187" s="913"/>
      <c r="AB187" s="912" t="s">
        <v>379</v>
      </c>
      <c r="AC187" s="916"/>
      <c r="AD187" s="913"/>
      <c r="AE187" s="510"/>
      <c r="AF187" s="513"/>
    </row>
    <row r="188" spans="17:32" ht="19.5" customHeight="1" thickBot="1">
      <c r="Q188" s="510"/>
      <c r="R188" s="510"/>
      <c r="S188" s="914"/>
      <c r="T188" s="917"/>
      <c r="U188" s="581" t="s">
        <v>371</v>
      </c>
      <c r="V188" s="914"/>
      <c r="W188" s="915"/>
      <c r="X188" s="920"/>
      <c r="Y188" s="920"/>
      <c r="Z188" s="914"/>
      <c r="AA188" s="915"/>
      <c r="AB188" s="914" t="s">
        <v>380</v>
      </c>
      <c r="AC188" s="917"/>
      <c r="AD188" s="915"/>
      <c r="AE188" s="510"/>
      <c r="AF188" s="513"/>
    </row>
    <row r="189" spans="17:32" ht="19.5" customHeight="1">
      <c r="Q189" s="510"/>
      <c r="R189" s="510"/>
      <c r="S189" s="468" t="s">
        <v>365</v>
      </c>
      <c r="T189" s="584" t="s">
        <v>381</v>
      </c>
      <c r="U189" s="585"/>
      <c r="V189" s="510"/>
      <c r="W189" s="510"/>
      <c r="X189" s="510"/>
      <c r="Y189" s="510"/>
      <c r="Z189" s="510"/>
      <c r="AA189" s="507"/>
      <c r="AB189" s="507"/>
      <c r="AC189" s="510"/>
      <c r="AD189" s="510"/>
      <c r="AE189" s="510"/>
      <c r="AF189" s="513"/>
    </row>
    <row r="190" spans="17:32" ht="19.5" customHeight="1">
      <c r="Q190" s="510"/>
      <c r="R190" s="510"/>
      <c r="S190" s="468" t="s">
        <v>376</v>
      </c>
      <c r="T190" s="584" t="s">
        <v>382</v>
      </c>
      <c r="U190" s="585"/>
      <c r="V190" s="510"/>
      <c r="W190" s="510"/>
      <c r="X190" s="510"/>
      <c r="Y190" s="510"/>
      <c r="Z190" s="510"/>
      <c r="AA190" s="507"/>
      <c r="AB190" s="507"/>
      <c r="AC190" s="510"/>
      <c r="AD190" s="510"/>
      <c r="AE190" s="510"/>
      <c r="AF190" s="513"/>
    </row>
    <row r="191" spans="17:32" ht="19.5" customHeight="1">
      <c r="Q191" s="510"/>
      <c r="R191" s="510"/>
      <c r="S191" s="468" t="s">
        <v>379</v>
      </c>
      <c r="T191" s="584" t="s">
        <v>383</v>
      </c>
      <c r="U191" s="510"/>
      <c r="V191" s="510"/>
      <c r="W191" s="510"/>
      <c r="X191" s="510"/>
      <c r="Y191" s="510"/>
      <c r="Z191" s="510"/>
      <c r="AA191" s="507"/>
      <c r="AB191" s="507"/>
      <c r="AC191" s="510"/>
      <c r="AD191" s="510"/>
      <c r="AE191" s="510"/>
      <c r="AF191" s="513"/>
    </row>
    <row r="192" spans="17:32" ht="19.5" customHeight="1">
      <c r="Q192" s="510"/>
      <c r="R192" s="510"/>
      <c r="T192" s="584"/>
      <c r="U192" s="510"/>
      <c r="V192" s="510"/>
      <c r="W192" s="510"/>
      <c r="X192" s="510"/>
      <c r="Y192" s="510"/>
      <c r="Z192" s="510"/>
      <c r="AA192" s="507"/>
      <c r="AB192" s="507"/>
      <c r="AC192" s="510"/>
      <c r="AD192" s="510"/>
      <c r="AE192" s="510"/>
      <c r="AF192" s="513"/>
    </row>
    <row r="193" spans="17:32" ht="19.5" customHeight="1">
      <c r="Q193" s="510"/>
      <c r="R193" s="510"/>
      <c r="S193" s="507"/>
      <c r="T193" s="507"/>
      <c r="U193" s="510"/>
      <c r="V193" s="510"/>
      <c r="W193" s="510"/>
      <c r="X193" s="510"/>
      <c r="Y193" s="510"/>
      <c r="Z193" s="510"/>
      <c r="AA193" s="507"/>
      <c r="AB193" s="507"/>
      <c r="AC193" s="510"/>
      <c r="AF193" s="513"/>
    </row>
    <row r="194" spans="17:32" ht="19.5" customHeight="1">
      <c r="Q194" s="510"/>
      <c r="R194" s="510"/>
      <c r="S194" s="507"/>
      <c r="T194" s="416"/>
      <c r="U194" s="510"/>
      <c r="V194" s="510"/>
      <c r="W194" s="523" t="s">
        <v>384</v>
      </c>
      <c r="X194" s="521">
        <f>COS(20*PI()/180)</f>
        <v>0.9396926207859084</v>
      </c>
      <c r="Y194" s="523" t="s">
        <v>259</v>
      </c>
      <c r="Z194" s="521">
        <f>AC70</f>
        <v>0.36397023426620234</v>
      </c>
      <c r="AA194" s="523" t="s">
        <v>385</v>
      </c>
      <c r="AB194" s="521">
        <f>SIN(20*PI()/180)</f>
        <v>0.3420201433256687</v>
      </c>
      <c r="AC194" s="754" t="s">
        <v>386</v>
      </c>
      <c r="AD194" s="755">
        <f>AA58</f>
        <v>3</v>
      </c>
      <c r="AF194" s="513"/>
    </row>
    <row r="195" spans="17:32" ht="19.5" customHeight="1">
      <c r="Q195" s="510"/>
      <c r="R195" s="510"/>
      <c r="S195" s="507"/>
      <c r="T195" s="507"/>
      <c r="U195" s="510"/>
      <c r="V195" s="510"/>
      <c r="Y195" s="586"/>
      <c r="Z195" s="586"/>
      <c r="AA195" s="148"/>
      <c r="AB195" s="148"/>
      <c r="AC195" s="510"/>
      <c r="AF195" s="513"/>
    </row>
    <row r="196" spans="17:32" ht="19.5" customHeight="1">
      <c r="Q196" s="510"/>
      <c r="R196" s="510"/>
      <c r="S196" s="507"/>
      <c r="T196" s="507"/>
      <c r="U196" s="510"/>
      <c r="V196" s="510"/>
      <c r="Y196" s="518" t="s">
        <v>248</v>
      </c>
      <c r="Z196" s="520">
        <f>AA57</f>
        <v>14.173576886309293</v>
      </c>
      <c r="AA196" s="587" t="s">
        <v>248</v>
      </c>
      <c r="AB196" s="519">
        <f>AD57</f>
        <v>56.69430754523717</v>
      </c>
      <c r="AC196" s="510"/>
      <c r="AD196" s="510"/>
      <c r="AE196" s="510"/>
      <c r="AF196" s="513"/>
    </row>
    <row r="197" spans="17:32" ht="19.5" customHeight="1">
      <c r="Q197" s="510"/>
      <c r="R197" s="510"/>
      <c r="S197" s="507"/>
      <c r="T197" s="416"/>
      <c r="U197" s="510"/>
      <c r="V197" s="510"/>
      <c r="Y197" s="504" t="s">
        <v>263</v>
      </c>
      <c r="Z197" s="588">
        <f>AA74</f>
        <v>0.49</v>
      </c>
      <c r="AA197" s="523" t="s">
        <v>264</v>
      </c>
      <c r="AB197" s="589">
        <f>AC74</f>
        <v>-1.5356019834743093</v>
      </c>
      <c r="AC197" s="510"/>
      <c r="AD197" s="510"/>
      <c r="AE197" s="510"/>
      <c r="AF197" s="513"/>
    </row>
    <row r="198" spans="17:32" ht="19.5" customHeight="1">
      <c r="Q198" s="510"/>
      <c r="R198" s="510"/>
      <c r="S198" s="507"/>
      <c r="T198" s="507"/>
      <c r="U198" s="510"/>
      <c r="V198" s="510"/>
      <c r="W198" s="510"/>
      <c r="X198" s="510"/>
      <c r="Y198" s="510"/>
      <c r="Z198" s="510"/>
      <c r="AA198" s="507"/>
      <c r="AB198" s="507"/>
      <c r="AC198" s="510"/>
      <c r="AD198" s="510"/>
      <c r="AE198" s="510"/>
      <c r="AF198" s="513"/>
    </row>
    <row r="199" spans="17:32" ht="19.5" customHeight="1">
      <c r="Q199" s="510"/>
      <c r="R199" s="510"/>
      <c r="S199" s="507"/>
      <c r="T199" s="507"/>
      <c r="U199" s="510"/>
      <c r="V199" s="510"/>
      <c r="W199" s="510"/>
      <c r="X199" s="510"/>
      <c r="Y199" s="518" t="s">
        <v>243</v>
      </c>
      <c r="Z199" s="520">
        <f>$Z$197-1</f>
        <v>-0.51</v>
      </c>
      <c r="AA199" s="590"/>
      <c r="AB199" s="587" t="s">
        <v>244</v>
      </c>
      <c r="AC199" s="519">
        <f>$AB$197-1</f>
        <v>-2.5356019834743093</v>
      </c>
      <c r="AE199" s="510"/>
      <c r="AF199" s="513"/>
    </row>
    <row r="200" spans="17:32" ht="19.5" customHeight="1">
      <c r="Q200" s="510"/>
      <c r="R200" s="510"/>
      <c r="S200" s="416"/>
      <c r="T200" s="507"/>
      <c r="U200" s="510"/>
      <c r="V200" s="510"/>
      <c r="W200" s="510"/>
      <c r="X200" s="510"/>
      <c r="AA200" s="507"/>
      <c r="AB200" s="507"/>
      <c r="AC200" s="507"/>
      <c r="AD200" s="510"/>
      <c r="AE200" s="510"/>
      <c r="AF200" s="513"/>
    </row>
    <row r="201" spans="17:32" ht="19.5" customHeight="1">
      <c r="Q201" s="510"/>
      <c r="R201" s="510"/>
      <c r="S201" s="507"/>
      <c r="T201" s="507"/>
      <c r="U201" s="510"/>
      <c r="V201" s="510"/>
      <c r="W201" s="510"/>
      <c r="X201" s="510"/>
      <c r="Y201" s="518" t="s">
        <v>387</v>
      </c>
      <c r="Z201" s="520">
        <f>2/Z196*(PI()/2-AB205/AD194)-PI()/3</f>
        <v>-0.847471984088718</v>
      </c>
      <c r="AA201" s="507"/>
      <c r="AB201" s="587" t="s">
        <v>388</v>
      </c>
      <c r="AC201" s="519">
        <f>2/AB196*(PI()/2-AB205/AD194)-PI()/3</f>
        <v>-0.9972661594196277</v>
      </c>
      <c r="AD201" s="510"/>
      <c r="AE201" s="510"/>
      <c r="AF201" s="513"/>
    </row>
    <row r="202" spans="17:32" ht="19.5" customHeight="1">
      <c r="Q202" s="510"/>
      <c r="R202" s="510"/>
      <c r="S202" s="507"/>
      <c r="T202" s="507"/>
      <c r="U202" s="510"/>
      <c r="V202" s="510"/>
      <c r="W202" s="510"/>
      <c r="X202" s="510"/>
      <c r="Y202" s="510"/>
      <c r="Z202" s="510"/>
      <c r="AA202" s="507"/>
      <c r="AB202" s="507"/>
      <c r="AC202" s="510"/>
      <c r="AD202" s="510"/>
      <c r="AE202" s="510"/>
      <c r="AF202" s="513"/>
    </row>
    <row r="203" spans="17:32" ht="19.5" customHeight="1">
      <c r="Q203" s="510"/>
      <c r="R203" s="510"/>
      <c r="S203" s="507"/>
      <c r="T203" s="416"/>
      <c r="U203" s="510"/>
      <c r="V203" s="510"/>
      <c r="Y203" s="510"/>
      <c r="Z203" s="510"/>
      <c r="AA203" s="507"/>
      <c r="AB203" s="507"/>
      <c r="AC203" s="510"/>
      <c r="AD203" s="510"/>
      <c r="AE203" s="510"/>
      <c r="AF203" s="513"/>
    </row>
    <row r="204" spans="17:32" ht="19.5" customHeight="1">
      <c r="Q204" s="510"/>
      <c r="R204" s="510"/>
      <c r="S204" s="507"/>
      <c r="T204" s="416"/>
      <c r="U204" s="510"/>
      <c r="V204" s="510"/>
      <c r="Y204" s="510"/>
      <c r="Z204" s="510"/>
      <c r="AA204" s="507"/>
      <c r="AB204" s="507"/>
      <c r="AC204" s="510"/>
      <c r="AD204" s="510"/>
      <c r="AE204" s="510"/>
      <c r="AF204" s="513"/>
    </row>
    <row r="205" spans="17:32" ht="19.5" customHeight="1">
      <c r="Q205" s="510"/>
      <c r="R205" s="510"/>
      <c r="S205" s="507"/>
      <c r="T205" s="507"/>
      <c r="U205" s="510"/>
      <c r="V205" s="510"/>
      <c r="W205" s="510"/>
      <c r="X205" s="510"/>
      <c r="AA205" s="523" t="s">
        <v>389</v>
      </c>
      <c r="AB205" s="521">
        <f>PI()/4*AD194-AB209*Z194-(1-AB194)*AB207/X194</f>
        <v>0.46615045803680366</v>
      </c>
      <c r="AC205" s="510"/>
      <c r="AD205" s="510"/>
      <c r="AE205" s="510"/>
      <c r="AF205" s="513"/>
    </row>
    <row r="206" ht="19.5" customHeight="1"/>
    <row r="207" spans="27:28" ht="19.5" customHeight="1">
      <c r="AA207" s="591" t="s">
        <v>247</v>
      </c>
      <c r="AB207" s="521">
        <f>0.25*AD194</f>
        <v>0.75</v>
      </c>
    </row>
    <row r="208" spans="1:27" ht="19.5" customHeight="1">
      <c r="A208" s="354"/>
      <c r="B208" s="354"/>
      <c r="G208" s="1"/>
      <c r="H208" s="1"/>
      <c r="N208" s="354"/>
      <c r="O208" s="147"/>
      <c r="P208" s="147"/>
      <c r="AA208" s="449"/>
    </row>
    <row r="209" spans="1:28" ht="19.5" customHeight="1">
      <c r="A209" s="354"/>
      <c r="B209" s="354"/>
      <c r="G209" s="1"/>
      <c r="H209" s="1"/>
      <c r="N209" s="354"/>
      <c r="O209" s="147"/>
      <c r="P209" s="147"/>
      <c r="AA209" s="523" t="s">
        <v>390</v>
      </c>
      <c r="AB209" s="521">
        <f>1.25*AD194</f>
        <v>3.75</v>
      </c>
    </row>
    <row r="210" spans="15:30" ht="19.5" customHeight="1" thickBot="1">
      <c r="O210" s="147"/>
      <c r="P210" s="147"/>
      <c r="AD210" s="357"/>
    </row>
    <row r="211" spans="17:30" ht="19.5" customHeight="1" thickBot="1">
      <c r="Q211" s="357"/>
      <c r="R211" s="357"/>
      <c r="S211" s="416"/>
      <c r="T211" s="918" t="str">
        <f>B16</f>
        <v>Helis faktörü </v>
      </c>
      <c r="U211" s="918"/>
      <c r="V211" s="918"/>
      <c r="W211" s="593" t="s">
        <v>391</v>
      </c>
      <c r="X211" s="357"/>
      <c r="Y211" s="594" t="s">
        <v>392</v>
      </c>
      <c r="Z211" s="595">
        <f>(1.2+0.13*Z213)*Z215^(1/(1.21+(2.3/Z213)))</f>
        <v>1.933546692708035</v>
      </c>
      <c r="AA211" s="596"/>
      <c r="AC211" s="594" t="s">
        <v>393</v>
      </c>
      <c r="AD211" s="595">
        <f>(1.2+0.13*AC213)*AC215^(1/(1.21+2.3/AC213))</f>
        <v>1.2451406166184604</v>
      </c>
    </row>
    <row r="212" spans="17:29" ht="19.5" customHeight="1">
      <c r="Q212" s="357"/>
      <c r="R212" s="357"/>
      <c r="S212" s="416"/>
      <c r="T212" s="416"/>
      <c r="U212" s="357"/>
      <c r="V212" s="357"/>
      <c r="W212" s="357"/>
      <c r="X212" s="357"/>
      <c r="Y212" s="357"/>
      <c r="Z212" s="357"/>
      <c r="AA212" s="416"/>
      <c r="AB212" s="416"/>
      <c r="AC212" s="357"/>
    </row>
    <row r="213" spans="17:29" ht="19.5" customHeight="1">
      <c r="Q213" s="357"/>
      <c r="R213" s="357"/>
      <c r="S213" s="416"/>
      <c r="T213" s="416"/>
      <c r="U213" s="357"/>
      <c r="V213" s="357"/>
      <c r="W213" s="357"/>
      <c r="X213" s="357"/>
      <c r="Y213" s="597" t="s">
        <v>394</v>
      </c>
      <c r="Z213" s="432">
        <f>Z217/Z228</f>
        <v>1.1668548539105121</v>
      </c>
      <c r="AA213" s="596"/>
      <c r="AB213" s="598" t="s">
        <v>395</v>
      </c>
      <c r="AC213" s="432">
        <f>AD217/AD228</f>
        <v>0.8022396089277345</v>
      </c>
    </row>
    <row r="214" spans="17:29" ht="19.5" customHeight="1">
      <c r="Q214" s="357"/>
      <c r="R214" s="357"/>
      <c r="S214" s="416"/>
      <c r="T214" s="416"/>
      <c r="U214" s="357"/>
      <c r="V214" s="357"/>
      <c r="W214" s="357"/>
      <c r="X214" s="357"/>
      <c r="Y214" s="357"/>
      <c r="Z214" s="357"/>
      <c r="AA214" s="416"/>
      <c r="AB214" s="416"/>
      <c r="AC214" s="357"/>
    </row>
    <row r="215" spans="17:29" ht="19.5" customHeight="1">
      <c r="Q215" s="357"/>
      <c r="R215" s="357"/>
      <c r="S215" s="416"/>
      <c r="T215" s="416"/>
      <c r="U215" s="357"/>
      <c r="V215" s="357"/>
      <c r="W215" s="357"/>
      <c r="X215" s="357"/>
      <c r="Y215" s="597" t="s">
        <v>396</v>
      </c>
      <c r="Z215" s="432">
        <f>Z217/2/Z219</f>
        <v>3.1231307958392636</v>
      </c>
      <c r="AA215" s="596"/>
      <c r="AB215" s="598" t="s">
        <v>397</v>
      </c>
      <c r="AC215" s="432">
        <f>AD217/2/AD219</f>
        <v>0.8276065416942636</v>
      </c>
    </row>
    <row r="216" spans="17:29" ht="19.5" customHeight="1" thickBot="1">
      <c r="Q216" s="357"/>
      <c r="R216" s="357"/>
      <c r="S216" s="416"/>
      <c r="T216" s="416"/>
      <c r="U216" s="357"/>
      <c r="V216" s="357"/>
      <c r="W216" s="357"/>
      <c r="X216" s="357"/>
      <c r="Y216" s="357"/>
      <c r="Z216" s="357"/>
      <c r="AA216" s="416"/>
      <c r="AB216" s="416"/>
      <c r="AC216" s="357"/>
    </row>
    <row r="217" spans="17:30" ht="19.5" customHeight="1" thickBot="1">
      <c r="Q217" s="357"/>
      <c r="R217" s="357"/>
      <c r="S217" s="416"/>
      <c r="T217" s="416"/>
      <c r="U217" s="357"/>
      <c r="V217" s="357"/>
      <c r="W217" s="357"/>
      <c r="X217" s="357"/>
      <c r="Y217" s="599" t="s">
        <v>398</v>
      </c>
      <c r="Z217" s="600">
        <f>Z222*AA46</f>
        <v>6.345537698281781</v>
      </c>
      <c r="AA217" s="416"/>
      <c r="AC217" s="599" t="s">
        <v>399</v>
      </c>
      <c r="AD217" s="600">
        <f>AC222*AD46</f>
        <v>4.895408610694952</v>
      </c>
    </row>
    <row r="218" spans="17:30" ht="19.5" customHeight="1" thickBot="1">
      <c r="Q218" s="357"/>
      <c r="R218" s="357"/>
      <c r="S218" s="416"/>
      <c r="T218" s="416"/>
      <c r="U218" s="357"/>
      <c r="V218" s="357"/>
      <c r="W218" s="357"/>
      <c r="X218" s="357"/>
      <c r="Y218" s="357"/>
      <c r="Z218" s="357"/>
      <c r="AA218" s="416"/>
      <c r="AC218" s="416"/>
      <c r="AD218" s="357"/>
    </row>
    <row r="219" spans="17:30" ht="19.5" customHeight="1" thickBot="1">
      <c r="Q219" s="357"/>
      <c r="R219" s="357"/>
      <c r="S219" s="416"/>
      <c r="T219" s="416"/>
      <c r="U219" s="357"/>
      <c r="V219" s="357"/>
      <c r="W219" s="357"/>
      <c r="X219" s="357"/>
      <c r="Y219" s="601" t="s">
        <v>400</v>
      </c>
      <c r="Z219" s="600">
        <f>Z221+2*Z222*Z223^2/Z224/(Z225*Z224^2-2*Z223)</f>
        <v>1.0158936837892785</v>
      </c>
      <c r="AA219" s="596"/>
      <c r="AC219" s="601" t="s">
        <v>401</v>
      </c>
      <c r="AD219" s="600">
        <f>AC221+2*AC222*AC223^2/AC224/(AC225*AC224^2-2*AC223)</f>
        <v>2.9575700312090003</v>
      </c>
    </row>
    <row r="220" spans="17:29" ht="19.5" customHeight="1">
      <c r="Q220" s="357"/>
      <c r="R220" s="357"/>
      <c r="S220" s="416"/>
      <c r="T220" s="416"/>
      <c r="U220" s="357"/>
      <c r="V220" s="357"/>
      <c r="W220" s="357"/>
      <c r="X220" s="357"/>
      <c r="Y220" s="357"/>
      <c r="Z220" s="357"/>
      <c r="AA220" s="416"/>
      <c r="AB220" s="416"/>
      <c r="AC220" s="357"/>
    </row>
    <row r="221" spans="17:29" ht="19.5" customHeight="1">
      <c r="Q221" s="357"/>
      <c r="R221" s="357"/>
      <c r="S221" s="416"/>
      <c r="T221" s="416"/>
      <c r="U221" s="357"/>
      <c r="V221" s="357"/>
      <c r="W221" s="357"/>
      <c r="X221" s="357"/>
      <c r="Y221" s="602" t="s">
        <v>247</v>
      </c>
      <c r="Z221" s="512">
        <f>AA56</f>
        <v>0.75</v>
      </c>
      <c r="AA221" s="416"/>
      <c r="AB221" s="603" t="s">
        <v>247</v>
      </c>
      <c r="AC221" s="357">
        <f>Z221</f>
        <v>0.75</v>
      </c>
    </row>
    <row r="222" spans="17:29" ht="19.5" customHeight="1">
      <c r="Q222" s="357"/>
      <c r="R222" s="357"/>
      <c r="S222" s="416"/>
      <c r="T222" s="416"/>
      <c r="U222" s="357"/>
      <c r="V222" s="357"/>
      <c r="W222" s="357"/>
      <c r="X222" s="357"/>
      <c r="Y222" s="602" t="s">
        <v>250</v>
      </c>
      <c r="Z222" s="512">
        <f>AA58</f>
        <v>3</v>
      </c>
      <c r="AA222" s="416"/>
      <c r="AB222" s="603" t="s">
        <v>250</v>
      </c>
      <c r="AC222" s="512">
        <f>Z222</f>
        <v>3</v>
      </c>
    </row>
    <row r="223" spans="17:29" ht="19.5" customHeight="1">
      <c r="Q223" s="357"/>
      <c r="R223" s="357"/>
      <c r="S223" s="416"/>
      <c r="T223" s="416"/>
      <c r="U223" s="357"/>
      <c r="V223" s="357"/>
      <c r="W223" s="357"/>
      <c r="X223" s="357"/>
      <c r="Y223" s="602" t="s">
        <v>402</v>
      </c>
      <c r="Z223" s="512">
        <f>AA54</f>
        <v>-0.51</v>
      </c>
      <c r="AA223" s="416"/>
      <c r="AB223" s="603" t="s">
        <v>403</v>
      </c>
      <c r="AC223" s="512">
        <f>AD54</f>
        <v>-2.5356019834743093</v>
      </c>
    </row>
    <row r="224" spans="17:29" ht="19.5" customHeight="1">
      <c r="Q224" s="357"/>
      <c r="R224" s="357"/>
      <c r="S224" s="416"/>
      <c r="T224" s="416"/>
      <c r="U224" s="357"/>
      <c r="V224" s="357"/>
      <c r="W224" s="357"/>
      <c r="X224" s="357"/>
      <c r="Y224" s="602" t="s">
        <v>404</v>
      </c>
      <c r="Z224" s="357">
        <f>COS(AA55)</f>
        <v>0.7132008576568452</v>
      </c>
      <c r="AA224" s="416"/>
      <c r="AB224" s="603" t="s">
        <v>405</v>
      </c>
      <c r="AC224" s="357">
        <f>COS(AD55)</f>
        <v>0.63141848530645</v>
      </c>
    </row>
    <row r="225" spans="17:29" ht="19.5" customHeight="1">
      <c r="Q225" s="357"/>
      <c r="R225" s="357"/>
      <c r="S225" s="416"/>
      <c r="T225" s="416"/>
      <c r="U225" s="357"/>
      <c r="V225" s="357"/>
      <c r="W225" s="357"/>
      <c r="X225" s="357"/>
      <c r="Y225" s="602" t="s">
        <v>406</v>
      </c>
      <c r="Z225" s="512">
        <f>AA57</f>
        <v>14.173576886309293</v>
      </c>
      <c r="AA225" s="416"/>
      <c r="AB225" s="603" t="s">
        <v>407</v>
      </c>
      <c r="AC225" s="512">
        <f>AD57</f>
        <v>56.69430754523717</v>
      </c>
    </row>
    <row r="226" spans="17:29" ht="19.5" customHeight="1">
      <c r="Q226" s="357"/>
      <c r="R226" s="357"/>
      <c r="S226" s="416"/>
      <c r="T226" s="416"/>
      <c r="U226" s="357"/>
      <c r="V226" s="357"/>
      <c r="W226" s="357"/>
      <c r="X226" s="357"/>
      <c r="Y226" s="357"/>
      <c r="Z226" s="357"/>
      <c r="AA226" s="416"/>
      <c r="AB226" s="416"/>
      <c r="AC226" s="357"/>
    </row>
    <row r="227" spans="17:29" ht="19.5" customHeight="1" thickBot="1">
      <c r="Q227" s="357"/>
      <c r="R227" s="357"/>
      <c r="S227" s="416"/>
      <c r="T227" s="416"/>
      <c r="U227" s="357"/>
      <c r="V227" s="357"/>
      <c r="W227" s="357"/>
      <c r="X227" s="357"/>
      <c r="AA227" s="416"/>
      <c r="AB227" s="416"/>
      <c r="AC227" s="357"/>
    </row>
    <row r="228" spans="17:30" ht="19.5" customHeight="1" thickBot="1">
      <c r="Q228" s="357"/>
      <c r="R228" s="357"/>
      <c r="S228" s="416"/>
      <c r="T228" s="416"/>
      <c r="U228" s="357"/>
      <c r="V228" s="357"/>
      <c r="W228" s="357"/>
      <c r="X228" s="357"/>
      <c r="Y228" s="599" t="s">
        <v>408</v>
      </c>
      <c r="Z228" s="604">
        <f>Z222*AA44</f>
        <v>5.438155120164097</v>
      </c>
      <c r="AA228" s="416"/>
      <c r="AC228" s="599" t="s">
        <v>409</v>
      </c>
      <c r="AD228" s="604">
        <f>AC222*AD44</f>
        <v>6.102177648942199</v>
      </c>
    </row>
    <row r="229" ht="19.5" customHeight="1"/>
    <row r="230" spans="29:30" ht="19.5" customHeight="1" thickBot="1">
      <c r="AC230" s="1"/>
      <c r="AD230" s="1"/>
    </row>
    <row r="231" spans="17:32" ht="19.5" customHeight="1" thickBot="1">
      <c r="Q231" s="355"/>
      <c r="R231" s="355"/>
      <c r="S231" s="605"/>
      <c r="T231" s="606" t="str">
        <f>B23</f>
        <v>Diş dibi form mukavemeti</v>
      </c>
      <c r="U231" s="607"/>
      <c r="V231" s="607"/>
      <c r="W231" s="608" t="s">
        <v>100</v>
      </c>
      <c r="X231" s="357"/>
      <c r="Y231" s="357"/>
      <c r="Z231" s="357"/>
      <c r="AA231" s="416"/>
      <c r="AC231" s="594" t="s">
        <v>410</v>
      </c>
      <c r="AD231" s="609">
        <f>U237*AD242*AD245*AD255*AD258*AD270</f>
        <v>637.7697773674023</v>
      </c>
      <c r="AE231" s="357"/>
      <c r="AF231" s="1"/>
    </row>
    <row r="232" spans="17:32" ht="19.5" customHeight="1" thickBot="1">
      <c r="Q232" s="355"/>
      <c r="R232" s="355"/>
      <c r="S232" s="605"/>
      <c r="T232" s="443"/>
      <c r="U232" s="355"/>
      <c r="V232" s="355"/>
      <c r="W232" s="355"/>
      <c r="X232" s="357"/>
      <c r="Y232" s="355"/>
      <c r="Z232" s="355"/>
      <c r="AA232" s="443"/>
      <c r="AC232" s="443"/>
      <c r="AD232" s="355"/>
      <c r="AE232" s="355"/>
      <c r="AF232" s="1"/>
    </row>
    <row r="233" spans="17:32" ht="19.5" customHeight="1" thickBot="1">
      <c r="Q233" s="355"/>
      <c r="R233" s="355"/>
      <c r="S233" s="605"/>
      <c r="X233" s="357"/>
      <c r="AC233" s="594" t="s">
        <v>411</v>
      </c>
      <c r="AD233" s="609">
        <f>U238*AD242*AD245*AD255*AD258*AD270</f>
        <v>637.7697773674023</v>
      </c>
      <c r="AF233" s="1"/>
    </row>
    <row r="234" spans="17:32" ht="19.5" customHeight="1">
      <c r="Q234" s="355"/>
      <c r="R234" s="355"/>
      <c r="S234" s="605"/>
      <c r="T234" s="416"/>
      <c r="U234" s="357"/>
      <c r="V234" s="357"/>
      <c r="W234" s="357"/>
      <c r="X234" s="357"/>
      <c r="Y234" s="357"/>
      <c r="Z234" s="357"/>
      <c r="AA234" s="416"/>
      <c r="AB234" s="416"/>
      <c r="AC234" s="357"/>
      <c r="AD234" s="357"/>
      <c r="AE234" s="357"/>
      <c r="AF234" s="1"/>
    </row>
    <row r="235" spans="17:32" ht="19.5" customHeight="1">
      <c r="Q235" s="355"/>
      <c r="R235" s="355"/>
      <c r="S235" s="605"/>
      <c r="T235" s="416"/>
      <c r="U235" s="357"/>
      <c r="V235" s="357"/>
      <c r="W235" s="357"/>
      <c r="X235" s="357"/>
      <c r="Y235" s="357"/>
      <c r="Z235" s="355"/>
      <c r="AB235" s="610" t="s">
        <v>412</v>
      </c>
      <c r="AC235" s="516">
        <v>2</v>
      </c>
      <c r="AD235" s="357"/>
      <c r="AE235" s="357"/>
      <c r="AF235" s="1"/>
    </row>
    <row r="236" spans="17:32" ht="19.5" customHeight="1">
      <c r="Q236" s="355"/>
      <c r="R236" s="355"/>
      <c r="S236" s="605"/>
      <c r="T236" s="416"/>
      <c r="U236" s="357"/>
      <c r="V236" s="357"/>
      <c r="W236" s="357"/>
      <c r="X236" s="357"/>
      <c r="Y236" s="357"/>
      <c r="Z236" s="355"/>
      <c r="AB236" s="610" t="s">
        <v>413</v>
      </c>
      <c r="AC236" s="516">
        <f>AD245</f>
        <v>1</v>
      </c>
      <c r="AD236" s="357"/>
      <c r="AE236" s="357"/>
      <c r="AF236" s="1"/>
    </row>
    <row r="237" spans="17:32" ht="19.5" customHeight="1">
      <c r="Q237" s="355"/>
      <c r="R237" s="355"/>
      <c r="S237" s="605"/>
      <c r="T237" s="798" t="s">
        <v>602</v>
      </c>
      <c r="U237" s="799">
        <f>E8</f>
        <v>310</v>
      </c>
      <c r="V237" s="355" t="s">
        <v>414</v>
      </c>
      <c r="W237" s="357"/>
      <c r="X237" s="357"/>
      <c r="Y237" s="357"/>
      <c r="Z237" s="355"/>
      <c r="AB237" s="610" t="s">
        <v>415</v>
      </c>
      <c r="AC237" s="516">
        <f>AD255</f>
        <v>1</v>
      </c>
      <c r="AD237" s="357"/>
      <c r="AE237" s="357"/>
      <c r="AF237" s="1"/>
    </row>
    <row r="238" spans="17:32" ht="19.5" customHeight="1">
      <c r="Q238" s="355"/>
      <c r="R238" s="355"/>
      <c r="S238" s="605"/>
      <c r="T238" s="798" t="s">
        <v>603</v>
      </c>
      <c r="U238" s="799">
        <f>F8</f>
        <v>310</v>
      </c>
      <c r="V238" s="355" t="s">
        <v>414</v>
      </c>
      <c r="W238" s="357"/>
      <c r="X238" s="357"/>
      <c r="Y238" s="357"/>
      <c r="Z238" s="355"/>
      <c r="AB238" s="610" t="s">
        <v>416</v>
      </c>
      <c r="AC238" s="516">
        <f>AD258</f>
        <v>1.0286609312377457</v>
      </c>
      <c r="AD238" s="357"/>
      <c r="AE238" s="357"/>
      <c r="AF238" s="1"/>
    </row>
    <row r="239" spans="17:32" ht="19.5" customHeight="1">
      <c r="Q239" s="355"/>
      <c r="R239" s="355"/>
      <c r="S239" s="605"/>
      <c r="T239" s="416"/>
      <c r="U239" s="357"/>
      <c r="V239" s="357"/>
      <c r="W239" s="357"/>
      <c r="X239" s="357"/>
      <c r="Y239" s="357"/>
      <c r="Z239" s="355"/>
      <c r="AB239" s="610" t="s">
        <v>417</v>
      </c>
      <c r="AC239" s="515">
        <f>AD270</f>
        <v>1</v>
      </c>
      <c r="AD239" s="357"/>
      <c r="AE239" s="357"/>
      <c r="AF239" s="1"/>
    </row>
    <row r="240" spans="17:32" ht="19.5" customHeight="1">
      <c r="Q240" s="355"/>
      <c r="R240" s="355"/>
      <c r="S240" s="605"/>
      <c r="T240" s="443"/>
      <c r="U240" s="355"/>
      <c r="V240" s="357"/>
      <c r="W240" s="357"/>
      <c r="X240" s="357"/>
      <c r="Y240" s="357"/>
      <c r="Z240" s="357"/>
      <c r="AA240" s="416"/>
      <c r="AB240" s="416"/>
      <c r="AC240" s="357"/>
      <c r="AD240" s="357"/>
      <c r="AE240" s="357"/>
      <c r="AF240" s="1"/>
    </row>
    <row r="241" spans="17:32" ht="19.5" customHeight="1" thickBot="1">
      <c r="Q241" s="355"/>
      <c r="R241" s="355"/>
      <c r="S241" s="605"/>
      <c r="T241" s="443"/>
      <c r="U241" s="355"/>
      <c r="V241" s="357"/>
      <c r="W241" s="357"/>
      <c r="X241" s="357"/>
      <c r="Y241" s="357"/>
      <c r="Z241" s="357"/>
      <c r="AA241" s="416"/>
      <c r="AB241" s="416"/>
      <c r="AC241" s="357"/>
      <c r="AD241" s="357"/>
      <c r="AE241" s="357"/>
      <c r="AF241" s="1"/>
    </row>
    <row r="242" spans="17:32" ht="19.5" customHeight="1" thickBot="1">
      <c r="Q242" s="355"/>
      <c r="R242" s="355"/>
      <c r="S242" s="605"/>
      <c r="T242" s="416"/>
      <c r="U242" s="357"/>
      <c r="V242" s="357"/>
      <c r="W242" s="357"/>
      <c r="X242" s="357"/>
      <c r="Y242" s="357"/>
      <c r="AC242" s="611" t="s">
        <v>412</v>
      </c>
      <c r="AD242" s="531">
        <v>2</v>
      </c>
      <c r="AE242" s="357"/>
      <c r="AF242" s="1"/>
    </row>
    <row r="243" spans="17:32" ht="19.5" customHeight="1">
      <c r="Q243" s="355"/>
      <c r="R243" s="355"/>
      <c r="S243" s="605"/>
      <c r="T243" s="416"/>
      <c r="U243" s="357"/>
      <c r="V243" s="357"/>
      <c r="W243" s="357"/>
      <c r="X243" s="357"/>
      <c r="Y243" s="357"/>
      <c r="Z243" s="357"/>
      <c r="AA243" s="416"/>
      <c r="AB243" s="416"/>
      <c r="AC243" s="357"/>
      <c r="AD243" s="357"/>
      <c r="AE243" s="357"/>
      <c r="AF243" s="1"/>
    </row>
    <row r="244" spans="17:32" ht="19.5" customHeight="1" thickBot="1">
      <c r="Q244" s="355"/>
      <c r="R244" s="355"/>
      <c r="S244" s="605"/>
      <c r="T244" s="416"/>
      <c r="U244" s="357"/>
      <c r="V244" s="357"/>
      <c r="W244" s="357"/>
      <c r="X244" s="357"/>
      <c r="Y244" s="357"/>
      <c r="Z244" s="357"/>
      <c r="AA244" s="416"/>
      <c r="AB244" s="416"/>
      <c r="AC244" s="357"/>
      <c r="AD244" s="357"/>
      <c r="AE244" s="357"/>
      <c r="AF244" s="1"/>
    </row>
    <row r="245" spans="17:32" ht="19.5" customHeight="1" thickBot="1">
      <c r="Q245" s="355"/>
      <c r="R245" s="355"/>
      <c r="S245" s="605"/>
      <c r="T245" s="612" t="str">
        <f>B26</f>
        <v>Dayanma süresi faktörü </v>
      </c>
      <c r="U245" s="613"/>
      <c r="V245" s="355" t="s">
        <v>418</v>
      </c>
      <c r="W245" s="355"/>
      <c r="X245" s="800" t="s">
        <v>419</v>
      </c>
      <c r="Y245" s="786">
        <f>1!F24</f>
        <v>3000000</v>
      </c>
      <c r="AC245" s="611" t="s">
        <v>413</v>
      </c>
      <c r="AD245" s="531">
        <f>IF(Y245&lt;999,IF(S252&lt;1.5,X249,IF(S252&lt;2.5,X250,X251)),IF(Y245&gt;2.9999*10^6,AA249,IF(S252&lt;1.5,AC249,IF(S252&lt;2.5,AC250,AC251))))</f>
        <v>1</v>
      </c>
      <c r="AE245" s="357"/>
      <c r="AF245" s="1"/>
    </row>
    <row r="246" spans="17:32" ht="19.5" customHeight="1" thickBot="1">
      <c r="Q246" s="355"/>
      <c r="R246" s="355"/>
      <c r="S246" s="605"/>
      <c r="T246" s="416"/>
      <c r="U246" s="357"/>
      <c r="V246" s="357"/>
      <c r="W246" s="357"/>
      <c r="X246" s="357"/>
      <c r="Y246" s="357"/>
      <c r="Z246" s="357"/>
      <c r="AA246" s="416"/>
      <c r="AB246" s="416"/>
      <c r="AC246" s="357"/>
      <c r="AD246" s="357"/>
      <c r="AE246" s="357"/>
      <c r="AF246" s="1"/>
    </row>
    <row r="247" spans="17:32" ht="19.5" customHeight="1">
      <c r="Q247" s="355"/>
      <c r="R247" s="355"/>
      <c r="S247" s="887" t="s">
        <v>351</v>
      </c>
      <c r="T247" s="888"/>
      <c r="U247" s="888"/>
      <c r="V247" s="888"/>
      <c r="W247" s="888"/>
      <c r="X247" s="888" t="s">
        <v>420</v>
      </c>
      <c r="Y247" s="888"/>
      <c r="Z247" s="888"/>
      <c r="AA247" s="888"/>
      <c r="AB247" s="890"/>
      <c r="AC247" s="355"/>
      <c r="AD247" s="355"/>
      <c r="AE247" s="355"/>
      <c r="AF247" s="1"/>
    </row>
    <row r="248" spans="17:32" ht="39.75" customHeight="1">
      <c r="Q248" s="355"/>
      <c r="R248" s="355"/>
      <c r="S248" s="889"/>
      <c r="T248" s="880"/>
      <c r="U248" s="880"/>
      <c r="V248" s="880"/>
      <c r="W248" s="880"/>
      <c r="X248" s="437" t="s">
        <v>421</v>
      </c>
      <c r="Y248" s="880" t="s">
        <v>422</v>
      </c>
      <c r="Z248" s="880"/>
      <c r="AA248" s="910" t="s">
        <v>423</v>
      </c>
      <c r="AB248" s="911"/>
      <c r="AC248" s="355"/>
      <c r="AD248" s="355"/>
      <c r="AE248" s="355"/>
      <c r="AF248" s="1"/>
    </row>
    <row r="249" spans="17:32" ht="39.75" customHeight="1">
      <c r="Q249" s="355"/>
      <c r="R249" s="355"/>
      <c r="S249" s="902" t="str">
        <f>1!L37</f>
        <v>1 - Demir döküm (GG, GGG)</v>
      </c>
      <c r="T249" s="903"/>
      <c r="U249" s="903"/>
      <c r="V249" s="903"/>
      <c r="W249" s="903"/>
      <c r="X249" s="548">
        <v>1.2</v>
      </c>
      <c r="Y249" s="900"/>
      <c r="Z249" s="900"/>
      <c r="AA249" s="904">
        <v>1</v>
      </c>
      <c r="AB249" s="905"/>
      <c r="AC249" s="546">
        <f>(3*10^6/Y245)^0.012</f>
        <v>1</v>
      </c>
      <c r="AD249" s="355"/>
      <c r="AE249" s="355"/>
      <c r="AF249" s="1"/>
    </row>
    <row r="250" spans="17:32" ht="39.75" customHeight="1">
      <c r="Q250" s="355"/>
      <c r="R250" s="355"/>
      <c r="S250" s="902" t="str">
        <f>1!L38</f>
        <v>2 - Bütün çelikler, (Rm&lt;800 N/mm2, St, GS)</v>
      </c>
      <c r="T250" s="903"/>
      <c r="U250" s="903"/>
      <c r="V250" s="903"/>
      <c r="W250" s="903"/>
      <c r="X250" s="548">
        <v>1.6</v>
      </c>
      <c r="Y250" s="900"/>
      <c r="Z250" s="900"/>
      <c r="AA250" s="904"/>
      <c r="AB250" s="905"/>
      <c r="AC250" s="546">
        <f>(3*10^6/Y245)^0.059</f>
        <v>1</v>
      </c>
      <c r="AD250" s="355"/>
      <c r="AE250" s="355"/>
      <c r="AF250" s="614"/>
    </row>
    <row r="251" spans="17:32" ht="39.75" customHeight="1" thickBot="1">
      <c r="Q251" s="355"/>
      <c r="R251" s="355"/>
      <c r="S251" s="908" t="str">
        <f>1!L39</f>
        <v>3 - Bütün sertleştirilmiş çelikler, (Rm&gt;800 N/mm2)</v>
      </c>
      <c r="T251" s="909"/>
      <c r="U251" s="909"/>
      <c r="V251" s="909"/>
      <c r="W251" s="909"/>
      <c r="X251" s="615">
        <v>2.5</v>
      </c>
      <c r="Y251" s="898"/>
      <c r="Z251" s="898"/>
      <c r="AA251" s="906"/>
      <c r="AB251" s="907"/>
      <c r="AC251" s="546">
        <f>(3*10^6/Y245)^0.115</f>
        <v>1</v>
      </c>
      <c r="AD251" s="355"/>
      <c r="AE251" s="355"/>
      <c r="AF251" s="614"/>
    </row>
    <row r="252" spans="17:32" ht="19.5" customHeight="1">
      <c r="Q252" s="355"/>
      <c r="R252" s="355"/>
      <c r="S252" s="778">
        <f>S162</f>
        <v>3</v>
      </c>
      <c r="T252" s="443"/>
      <c r="U252" s="355"/>
      <c r="V252" s="355"/>
      <c r="W252" s="355"/>
      <c r="X252" s="357"/>
      <c r="Y252" s="355"/>
      <c r="Z252" s="355"/>
      <c r="AA252" s="443"/>
      <c r="AB252" s="443"/>
      <c r="AC252" s="355"/>
      <c r="AD252" s="355"/>
      <c r="AE252" s="355"/>
      <c r="AF252" s="614"/>
    </row>
    <row r="253" spans="17:32" ht="19.5" customHeight="1">
      <c r="Q253" s="355"/>
      <c r="R253" s="355"/>
      <c r="S253" s="605"/>
      <c r="T253" s="443"/>
      <c r="U253" s="355"/>
      <c r="V253" s="355"/>
      <c r="W253" s="355"/>
      <c r="X253" s="357"/>
      <c r="Y253" s="355"/>
      <c r="Z253" s="355"/>
      <c r="AA253" s="443"/>
      <c r="AB253" s="443"/>
      <c r="AC253" s="355"/>
      <c r="AD253" s="355"/>
      <c r="AE253" s="355"/>
      <c r="AF253" s="614"/>
    </row>
    <row r="254" spans="17:32" ht="19.5" customHeight="1" thickBot="1">
      <c r="Q254" s="355"/>
      <c r="R254" s="355"/>
      <c r="S254" s="605"/>
      <c r="T254" s="443"/>
      <c r="U254" s="355"/>
      <c r="V254" s="355"/>
      <c r="W254" s="355"/>
      <c r="X254" s="357"/>
      <c r="Y254" s="355"/>
      <c r="Z254" s="355"/>
      <c r="AA254" s="443"/>
      <c r="AB254" s="616"/>
      <c r="AC254" s="617"/>
      <c r="AD254" s="355"/>
      <c r="AE254" s="355"/>
      <c r="AF254" s="614"/>
    </row>
    <row r="255" spans="17:32" ht="19.5" customHeight="1" thickBot="1">
      <c r="Q255" s="355"/>
      <c r="R255" s="355"/>
      <c r="S255" s="605"/>
      <c r="T255" s="443"/>
      <c r="U255" s="355"/>
      <c r="V255" s="355"/>
      <c r="W255" s="355"/>
      <c r="X255" s="357"/>
      <c r="Y255" s="355"/>
      <c r="Z255" s="355"/>
      <c r="AA255" s="443"/>
      <c r="AC255" s="611" t="s">
        <v>424</v>
      </c>
      <c r="AD255" s="531">
        <v>1</v>
      </c>
      <c r="AE255" s="355"/>
      <c r="AF255" s="1"/>
    </row>
    <row r="256" spans="17:32" ht="19.5" customHeight="1">
      <c r="Q256" s="355"/>
      <c r="R256" s="355"/>
      <c r="S256" s="605"/>
      <c r="T256" s="443"/>
      <c r="U256" s="355"/>
      <c r="V256" s="355"/>
      <c r="W256" s="355"/>
      <c r="X256" s="357"/>
      <c r="Y256" s="355"/>
      <c r="Z256" s="355"/>
      <c r="AA256" s="443"/>
      <c r="AB256" s="443"/>
      <c r="AC256" s="355"/>
      <c r="AD256" s="177"/>
      <c r="AE256" s="355"/>
      <c r="AF256" s="614"/>
    </row>
    <row r="257" spans="17:32" ht="19.5" customHeight="1" thickBot="1">
      <c r="Q257" s="355"/>
      <c r="R257" s="355"/>
      <c r="S257" s="605"/>
      <c r="T257" s="443"/>
      <c r="U257" s="355"/>
      <c r="V257" s="355"/>
      <c r="W257" s="355"/>
      <c r="X257" s="357"/>
      <c r="Y257" s="355"/>
      <c r="Z257" s="355"/>
      <c r="AA257" s="443"/>
      <c r="AB257" s="443"/>
      <c r="AC257" s="355"/>
      <c r="AD257" s="177"/>
      <c r="AE257" s="355"/>
      <c r="AF257" s="614"/>
    </row>
    <row r="258" spans="17:32" ht="19.5" customHeight="1" thickBot="1">
      <c r="Q258" s="355"/>
      <c r="R258" s="355"/>
      <c r="S258" s="605"/>
      <c r="T258" s="612" t="str">
        <f>B28</f>
        <v>Göreceli yüzey faktörü</v>
      </c>
      <c r="U258" s="613"/>
      <c r="V258" s="355" t="s">
        <v>425</v>
      </c>
      <c r="W258" s="355"/>
      <c r="X258" s="433" t="s">
        <v>426</v>
      </c>
      <c r="Y258" s="177">
        <f>(AA266+AC266)/2</f>
        <v>6.3</v>
      </c>
      <c r="Z258" s="355"/>
      <c r="AA258" s="443"/>
      <c r="AC258" s="611" t="s">
        <v>416</v>
      </c>
      <c r="AD258" s="531">
        <f>IF(Y258&lt;1,IF(S265&lt;1.5,Y262,IF(S265&lt;2.5,Y263,Y264)),IF(S265&lt;1.5,AD262,IF(S265&lt;2.5,AD263,AD264)))</f>
        <v>1.0286609312377457</v>
      </c>
      <c r="AE258" s="355"/>
      <c r="AF258" s="614"/>
    </row>
    <row r="259" spans="17:32" ht="19.5" customHeight="1" thickBot="1">
      <c r="Q259" s="355"/>
      <c r="R259" s="355"/>
      <c r="S259" s="605"/>
      <c r="T259" s="443"/>
      <c r="U259" s="355"/>
      <c r="V259" s="355"/>
      <c r="W259" s="355"/>
      <c r="X259" s="355"/>
      <c r="Y259" s="355"/>
      <c r="Z259" s="355"/>
      <c r="AA259" s="443"/>
      <c r="AB259" s="443"/>
      <c r="AC259" s="355"/>
      <c r="AD259" s="355"/>
      <c r="AE259" s="355"/>
      <c r="AF259" s="614"/>
    </row>
    <row r="260" spans="17:32" ht="19.5" customHeight="1">
      <c r="Q260" s="355"/>
      <c r="R260" s="355"/>
      <c r="S260" s="887" t="s">
        <v>351</v>
      </c>
      <c r="T260" s="888"/>
      <c r="U260" s="888"/>
      <c r="V260" s="888"/>
      <c r="W260" s="888"/>
      <c r="X260" s="896" t="s">
        <v>427</v>
      </c>
      <c r="Y260" s="896"/>
      <c r="Z260" s="896"/>
      <c r="AA260" s="896"/>
      <c r="AB260" s="896"/>
      <c r="AC260" s="897"/>
      <c r="AD260" s="355"/>
      <c r="AE260" s="355"/>
      <c r="AF260" s="614"/>
    </row>
    <row r="261" spans="17:32" ht="19.5" customHeight="1">
      <c r="Q261" s="355"/>
      <c r="R261" s="355"/>
      <c r="S261" s="889"/>
      <c r="T261" s="880"/>
      <c r="U261" s="880"/>
      <c r="V261" s="880"/>
      <c r="W261" s="880"/>
      <c r="X261" s="892" t="s">
        <v>428</v>
      </c>
      <c r="Y261" s="892"/>
      <c r="Z261" s="892" t="s">
        <v>429</v>
      </c>
      <c r="AA261" s="892"/>
      <c r="AB261" s="892"/>
      <c r="AC261" s="893"/>
      <c r="AD261" s="355"/>
      <c r="AE261" s="355"/>
      <c r="AF261" s="614"/>
    </row>
    <row r="262" spans="17:32" ht="24.75" customHeight="1">
      <c r="Q262" s="355"/>
      <c r="R262" s="355"/>
      <c r="S262" s="878" t="str">
        <f>1!L37</f>
        <v>1 - Demir döküm (GG, GGG)</v>
      </c>
      <c r="T262" s="879"/>
      <c r="U262" s="879"/>
      <c r="V262" s="879"/>
      <c r="W262" s="879"/>
      <c r="X262" s="618" t="s">
        <v>430</v>
      </c>
      <c r="Y262" s="619">
        <v>1.025</v>
      </c>
      <c r="Z262" s="900"/>
      <c r="AA262" s="900"/>
      <c r="AB262" s="900"/>
      <c r="AC262" s="901"/>
      <c r="AD262" s="546">
        <f>4.299-3.259*(Y258+1)^0.005</f>
        <v>1.0074460727071104</v>
      </c>
      <c r="AE262" s="355"/>
      <c r="AF262" s="620"/>
    </row>
    <row r="263" spans="17:31" ht="24.75" customHeight="1">
      <c r="Q263" s="355"/>
      <c r="R263" s="355"/>
      <c r="S263" s="878" t="str">
        <f>1!L38</f>
        <v>2 - Bütün çelikler, (Rm&lt;800 N/mm2, St, GS)</v>
      </c>
      <c r="T263" s="879"/>
      <c r="U263" s="879"/>
      <c r="V263" s="879"/>
      <c r="W263" s="879"/>
      <c r="X263" s="618" t="s">
        <v>430</v>
      </c>
      <c r="Y263" s="619">
        <v>1.07</v>
      </c>
      <c r="Z263" s="900"/>
      <c r="AA263" s="900"/>
      <c r="AB263" s="900"/>
      <c r="AC263" s="901"/>
      <c r="AD263" s="546">
        <f>5.306-4.203*(Y258+1)^0.01</f>
        <v>1.0186136729271453</v>
      </c>
      <c r="AE263" s="357"/>
    </row>
    <row r="264" spans="17:31" ht="24.75" customHeight="1" thickBot="1">
      <c r="Q264" s="355"/>
      <c r="R264" s="355"/>
      <c r="S264" s="882" t="str">
        <f>1!L39</f>
        <v>3 - Bütün sertleştirilmiş çelikler, (Rm&gt;800 N/mm2)</v>
      </c>
      <c r="T264" s="883"/>
      <c r="U264" s="883"/>
      <c r="V264" s="883"/>
      <c r="W264" s="883"/>
      <c r="X264" s="621" t="s">
        <v>430</v>
      </c>
      <c r="Y264" s="622">
        <v>1.12</v>
      </c>
      <c r="Z264" s="898"/>
      <c r="AA264" s="898"/>
      <c r="AB264" s="898"/>
      <c r="AC264" s="899"/>
      <c r="AD264" s="546">
        <f>1.674-0.529*(Y258+1)^0.1</f>
        <v>1.0286609312377457</v>
      </c>
      <c r="AE264" s="355"/>
    </row>
    <row r="265" spans="17:32" ht="19.5" customHeight="1">
      <c r="Q265" s="355"/>
      <c r="R265" s="355"/>
      <c r="S265" s="762">
        <f>S252</f>
        <v>3</v>
      </c>
      <c r="T265" s="443"/>
      <c r="U265" s="355"/>
      <c r="V265" s="355"/>
      <c r="W265" s="300"/>
      <c r="X265" s="300"/>
      <c r="AA265" s="443"/>
      <c r="AD265" s="355"/>
      <c r="AE265" s="355"/>
      <c r="AF265" s="614"/>
    </row>
    <row r="266" spans="17:32" ht="19.5" customHeight="1">
      <c r="Q266" s="355"/>
      <c r="R266" s="355"/>
      <c r="S266" s="443"/>
      <c r="T266" s="443"/>
      <c r="U266" s="355"/>
      <c r="V266" s="355"/>
      <c r="W266" s="355"/>
      <c r="X266" s="355"/>
      <c r="Y266" s="355"/>
      <c r="Z266" s="757" t="s">
        <v>566</v>
      </c>
      <c r="AA266" s="758">
        <f>1!F22</f>
        <v>6.3</v>
      </c>
      <c r="AB266" s="757" t="s">
        <v>567</v>
      </c>
      <c r="AC266" s="758">
        <f>1!F23</f>
        <v>6.3</v>
      </c>
      <c r="AD266" s="355"/>
      <c r="AE266" s="355"/>
      <c r="AF266" s="614"/>
    </row>
    <row r="267" spans="17:32" ht="19.5" customHeight="1">
      <c r="Q267" s="355"/>
      <c r="R267" s="355"/>
      <c r="S267" s="443"/>
      <c r="T267" s="443"/>
      <c r="U267" s="355"/>
      <c r="V267" s="355"/>
      <c r="W267" s="355"/>
      <c r="X267" s="355"/>
      <c r="Y267" s="355"/>
      <c r="Z267" s="355"/>
      <c r="AA267" s="443"/>
      <c r="AB267" s="443"/>
      <c r="AC267" s="355"/>
      <c r="AD267" s="355"/>
      <c r="AE267" s="355"/>
      <c r="AF267" s="614"/>
    </row>
    <row r="268" spans="17:32" ht="19.5" customHeight="1">
      <c r="Q268" s="357"/>
      <c r="R268" s="357"/>
      <c r="S268" s="416"/>
      <c r="T268" s="416"/>
      <c r="U268" s="357"/>
      <c r="V268" s="357"/>
      <c r="W268" s="357"/>
      <c r="X268" s="357"/>
      <c r="Y268" s="357"/>
      <c r="Z268" s="357"/>
      <c r="AA268" s="416"/>
      <c r="AB268" s="416"/>
      <c r="AC268" s="357"/>
      <c r="AD268" s="357"/>
      <c r="AE268" s="357"/>
      <c r="AF268" s="614"/>
    </row>
    <row r="269" spans="17:32" ht="19.5" customHeight="1" thickBot="1">
      <c r="Q269" s="357"/>
      <c r="R269" s="357"/>
      <c r="S269" s="416"/>
      <c r="T269" s="416"/>
      <c r="U269" s="357"/>
      <c r="V269" s="357"/>
      <c r="W269" s="357"/>
      <c r="X269" s="357"/>
      <c r="Y269" s="357"/>
      <c r="Z269" s="357"/>
      <c r="AA269" s="416"/>
      <c r="AB269" s="416"/>
      <c r="AC269" s="357"/>
      <c r="AD269" s="357"/>
      <c r="AE269" s="357"/>
      <c r="AF269" s="614"/>
    </row>
    <row r="270" spans="17:32" ht="19.5" customHeight="1" thickBot="1">
      <c r="Q270" s="357"/>
      <c r="R270" s="357"/>
      <c r="S270" s="416"/>
      <c r="T270" s="612" t="str">
        <f>B29</f>
        <v>Büyüklük faktörü</v>
      </c>
      <c r="U270" s="612"/>
      <c r="V270" s="443" t="s">
        <v>431</v>
      </c>
      <c r="W270" s="616" t="s">
        <v>250</v>
      </c>
      <c r="X270" s="623">
        <f>AA58</f>
        <v>3</v>
      </c>
      <c r="Y270" s="355"/>
      <c r="Z270" s="355"/>
      <c r="AA270" s="443"/>
      <c r="AC270" s="611" t="s">
        <v>417</v>
      </c>
      <c r="AD270" s="531">
        <f>IF(S277&lt;1.5,AD274,IF(S277&lt;2.5,AD275,AD276))</f>
        <v>1</v>
      </c>
      <c r="AE270" s="357"/>
      <c r="AF270" s="614"/>
    </row>
    <row r="271" spans="17:32" ht="19.5" customHeight="1" thickBot="1">
      <c r="Q271" s="357"/>
      <c r="R271" s="357"/>
      <c r="S271" s="416"/>
      <c r="T271" s="416"/>
      <c r="U271" s="357"/>
      <c r="V271" s="357"/>
      <c r="W271" s="357"/>
      <c r="X271" s="357"/>
      <c r="Y271" s="357"/>
      <c r="Z271" s="357"/>
      <c r="AA271" s="416"/>
      <c r="AB271" s="416"/>
      <c r="AC271" s="357"/>
      <c r="AD271" s="357"/>
      <c r="AE271" s="357"/>
      <c r="AF271" s="614"/>
    </row>
    <row r="272" spans="17:32" ht="19.5" customHeight="1">
      <c r="Q272" s="355"/>
      <c r="R272" s="355"/>
      <c r="S272" s="887" t="s">
        <v>351</v>
      </c>
      <c r="T272" s="888"/>
      <c r="U272" s="888"/>
      <c r="V272" s="888"/>
      <c r="W272" s="888"/>
      <c r="X272" s="888" t="s">
        <v>432</v>
      </c>
      <c r="Y272" s="888"/>
      <c r="Z272" s="888"/>
      <c r="AA272" s="888"/>
      <c r="AB272" s="888"/>
      <c r="AC272" s="890"/>
      <c r="AD272" s="357"/>
      <c r="AE272" s="357"/>
      <c r="AF272" s="614"/>
    </row>
    <row r="273" spans="17:32" ht="19.5" customHeight="1">
      <c r="Q273" s="355"/>
      <c r="R273" s="355"/>
      <c r="S273" s="889"/>
      <c r="T273" s="880"/>
      <c r="U273" s="880"/>
      <c r="V273" s="880"/>
      <c r="W273" s="880"/>
      <c r="X273" s="437" t="s">
        <v>433</v>
      </c>
      <c r="Y273" s="880" t="s">
        <v>434</v>
      </c>
      <c r="Z273" s="880"/>
      <c r="AA273" s="880"/>
      <c r="AB273" s="880"/>
      <c r="AC273" s="624" t="s">
        <v>435</v>
      </c>
      <c r="AD273" s="355"/>
      <c r="AE273" s="355"/>
      <c r="AF273" s="614"/>
    </row>
    <row r="274" spans="17:32" ht="19.5" customHeight="1">
      <c r="Q274" s="355"/>
      <c r="R274" s="355"/>
      <c r="S274" s="878" t="str">
        <f>1!L37</f>
        <v>1 - Demir döküm (GG, GGG)</v>
      </c>
      <c r="T274" s="879"/>
      <c r="U274" s="879"/>
      <c r="V274" s="879"/>
      <c r="W274" s="879"/>
      <c r="X274" s="880" t="s">
        <v>436</v>
      </c>
      <c r="Y274" s="880" t="s">
        <v>437</v>
      </c>
      <c r="Z274" s="880"/>
      <c r="AA274" s="880"/>
      <c r="AB274" s="880"/>
      <c r="AC274" s="624" t="s">
        <v>438</v>
      </c>
      <c r="AD274" s="546">
        <f>IF(X270&lt;5,1,IF(X270&gt;25,0.7,1.075-0.015*X270))</f>
        <v>1</v>
      </c>
      <c r="AE274" s="355"/>
      <c r="AF274" s="614"/>
    </row>
    <row r="275" spans="17:32" ht="19.5" customHeight="1">
      <c r="Q275" s="355"/>
      <c r="R275" s="355"/>
      <c r="S275" s="878" t="str">
        <f>1!L38</f>
        <v>2 - Bütün çelikler, (Rm&lt;800 N/mm2, St, GS)</v>
      </c>
      <c r="T275" s="879"/>
      <c r="U275" s="879"/>
      <c r="V275" s="879"/>
      <c r="W275" s="879"/>
      <c r="X275" s="880"/>
      <c r="Y275" s="880" t="s">
        <v>439</v>
      </c>
      <c r="Z275" s="880"/>
      <c r="AA275" s="880"/>
      <c r="AB275" s="880"/>
      <c r="AC275" s="624" t="s">
        <v>440</v>
      </c>
      <c r="AD275" s="573">
        <f>IF(X270&lt;5,1,IF(X270&gt;25,0.85,1.03-0.006*X270))</f>
        <v>1</v>
      </c>
      <c r="AE275" s="355"/>
      <c r="AF275" s="1"/>
    </row>
    <row r="276" spans="17:32" ht="19.5" customHeight="1" thickBot="1">
      <c r="Q276" s="355"/>
      <c r="R276" s="355"/>
      <c r="S276" s="882" t="str">
        <f>1!L39</f>
        <v>3 - Bütün sertleştirilmiş çelikler, (Rm&gt;800 N/mm2)</v>
      </c>
      <c r="T276" s="883"/>
      <c r="U276" s="883"/>
      <c r="V276" s="883"/>
      <c r="W276" s="883"/>
      <c r="X276" s="881"/>
      <c r="Y276" s="881" t="s">
        <v>441</v>
      </c>
      <c r="Z276" s="881"/>
      <c r="AA276" s="881"/>
      <c r="AB276" s="881"/>
      <c r="AC276" s="625" t="s">
        <v>442</v>
      </c>
      <c r="AD276" s="573">
        <f>IF(X270&lt;5,1,IF(X270&gt;25,0.8,1.05-0.01*X270))</f>
        <v>1</v>
      </c>
      <c r="AE276" s="355"/>
      <c r="AF276" s="1"/>
    </row>
    <row r="277" spans="17:32" ht="19.5" customHeight="1">
      <c r="Q277" s="355"/>
      <c r="R277" s="355"/>
      <c r="S277" s="763">
        <f>S252</f>
        <v>3</v>
      </c>
      <c r="T277" s="443"/>
      <c r="U277" s="355"/>
      <c r="V277" s="355"/>
      <c r="W277" s="355"/>
      <c r="X277" s="355"/>
      <c r="Y277" s="355"/>
      <c r="Z277" s="355"/>
      <c r="AA277" s="443"/>
      <c r="AB277" s="443"/>
      <c r="AC277" s="355"/>
      <c r="AD277" s="355"/>
      <c r="AE277" s="355"/>
      <c r="AF277" s="1"/>
    </row>
    <row r="278" spans="17:32" ht="19.5" customHeight="1">
      <c r="Q278" s="355"/>
      <c r="R278" s="355"/>
      <c r="S278" s="443"/>
      <c r="T278" s="443"/>
      <c r="U278" s="355"/>
      <c r="V278" s="355"/>
      <c r="W278" s="355"/>
      <c r="X278" s="355"/>
      <c r="Y278" s="355"/>
      <c r="Z278" s="355"/>
      <c r="AA278" s="443"/>
      <c r="AB278" s="443"/>
      <c r="AC278" s="355"/>
      <c r="AD278" s="355"/>
      <c r="AE278" s="355"/>
      <c r="AF278" s="1"/>
    </row>
    <row r="279" spans="28:30" ht="19.5" customHeight="1" thickBot="1">
      <c r="AB279" s="443"/>
      <c r="AC279" s="1"/>
      <c r="AD279" s="1"/>
    </row>
    <row r="280" spans="20:30" ht="19.5" customHeight="1" thickBot="1">
      <c r="T280" s="626" t="str">
        <f>H19</f>
        <v>İşletmede Hertz basıncı</v>
      </c>
      <c r="U280" s="592"/>
      <c r="V280" s="592"/>
      <c r="W280" s="627" t="s">
        <v>165</v>
      </c>
      <c r="X280" s="357"/>
      <c r="AC280" s="628" t="s">
        <v>443</v>
      </c>
      <c r="AD280" s="629">
        <f>AD288*(AC282*AC283*AC284*AC285)^0.5</f>
        <v>1619.911678929043</v>
      </c>
    </row>
    <row r="281" ht="19.5" customHeight="1"/>
    <row r="282" spans="28:29" ht="19.5" customHeight="1">
      <c r="AB282" s="630" t="s">
        <v>444</v>
      </c>
      <c r="AC282" s="516">
        <f>'11'!O7</f>
        <v>1.5</v>
      </c>
    </row>
    <row r="283" spans="28:31" ht="19.5" customHeight="1">
      <c r="AB283" s="630" t="s">
        <v>280</v>
      </c>
      <c r="AC283" s="516">
        <f>AD94</f>
        <v>1.0487786985497483</v>
      </c>
      <c r="AD283" s="355"/>
      <c r="AE283" s="355"/>
    </row>
    <row r="284" spans="28:31" ht="19.5" customHeight="1">
      <c r="AB284" s="630" t="s">
        <v>273</v>
      </c>
      <c r="AC284" s="516">
        <f>AD84</f>
        <v>2.093154241393768</v>
      </c>
      <c r="AD284" s="355"/>
      <c r="AE284" s="355"/>
    </row>
    <row r="285" spans="27:31" ht="19.5" customHeight="1">
      <c r="AA285" s="443"/>
      <c r="AB285" s="630" t="s">
        <v>445</v>
      </c>
      <c r="AC285" s="516">
        <f>AD160</f>
        <v>1.2</v>
      </c>
      <c r="AD285" s="355"/>
      <c r="AE285" s="355"/>
    </row>
    <row r="286" spans="20:31" ht="19.5" customHeight="1">
      <c r="T286" s="443"/>
      <c r="U286" s="355"/>
      <c r="V286" s="355"/>
      <c r="W286" s="355"/>
      <c r="X286" s="355"/>
      <c r="Y286" s="355"/>
      <c r="Z286" s="355"/>
      <c r="AA286" s="443"/>
      <c r="AC286" s="355"/>
      <c r="AD286" s="355"/>
      <c r="AE286" s="355"/>
    </row>
    <row r="287" spans="29:31" ht="19.5" customHeight="1" thickBot="1">
      <c r="AC287" s="1"/>
      <c r="AD287" s="1"/>
      <c r="AE287" s="355"/>
    </row>
    <row r="288" spans="20:31" ht="19.5" customHeight="1" thickBot="1">
      <c r="T288" s="626" t="str">
        <f>H11</f>
        <v>Yerel Hertz basıncı</v>
      </c>
      <c r="U288" s="592"/>
      <c r="V288" s="592"/>
      <c r="W288" s="631" t="s">
        <v>446</v>
      </c>
      <c r="X288" s="357"/>
      <c r="AA288" s="443"/>
      <c r="AC288" s="628" t="s">
        <v>447</v>
      </c>
      <c r="AD288" s="629">
        <f>(V293/X294/V294/X293*(X293+1))^0.5*AD297*AD307*AD311*AD316</f>
        <v>814.915426176574</v>
      </c>
      <c r="AE288" s="355"/>
    </row>
    <row r="289" spans="20:31" ht="19.5" customHeight="1">
      <c r="T289" s="443"/>
      <c r="U289" s="355"/>
      <c r="V289" s="586"/>
      <c r="W289" s="586"/>
      <c r="X289" s="586"/>
      <c r="Y289" s="355"/>
      <c r="Z289" s="355"/>
      <c r="AC289" s="355"/>
      <c r="AD289" s="355"/>
      <c r="AE289" s="355"/>
    </row>
    <row r="290" spans="20:31" ht="19.5" customHeight="1">
      <c r="T290" s="443"/>
      <c r="U290" s="355"/>
      <c r="V290" s="355"/>
      <c r="W290" s="355"/>
      <c r="X290" s="355"/>
      <c r="Y290" s="355"/>
      <c r="Z290" s="355"/>
      <c r="AC290" s="355"/>
      <c r="AD290" s="355"/>
      <c r="AE290" s="355"/>
    </row>
    <row r="291" spans="20:31" ht="19.5" customHeight="1">
      <c r="T291" s="616"/>
      <c r="U291" s="177"/>
      <c r="V291" s="355"/>
      <c r="W291" s="355"/>
      <c r="X291" s="355"/>
      <c r="Y291" s="433"/>
      <c r="Z291" s="177"/>
      <c r="AB291" s="610" t="s">
        <v>345</v>
      </c>
      <c r="AC291" s="516">
        <f>AD297</f>
        <v>0.7454899621497447</v>
      </c>
      <c r="AD291" s="355"/>
      <c r="AE291" s="355"/>
    </row>
    <row r="292" spans="20:31" ht="19.5" customHeight="1">
      <c r="T292" s="416"/>
      <c r="U292" s="357"/>
      <c r="V292" s="357"/>
      <c r="W292" s="357"/>
      <c r="X292" s="357"/>
      <c r="AB292" s="610" t="s">
        <v>448</v>
      </c>
      <c r="AC292" s="516">
        <f>AD307</f>
        <v>0.9702194214996553</v>
      </c>
      <c r="AD292" s="355"/>
      <c r="AE292" s="355"/>
    </row>
    <row r="293" spans="21:31" ht="19.5" customHeight="1">
      <c r="U293" s="603" t="s">
        <v>449</v>
      </c>
      <c r="V293" s="632">
        <f>E7</f>
        <v>7274.3560259137785</v>
      </c>
      <c r="W293" s="602" t="s">
        <v>286</v>
      </c>
      <c r="X293" s="633">
        <f>K10</f>
        <v>4</v>
      </c>
      <c r="AB293" s="610" t="s">
        <v>450</v>
      </c>
      <c r="AC293" s="516">
        <f>AD311</f>
        <v>2.953291984289061</v>
      </c>
      <c r="AD293" s="357"/>
      <c r="AE293" s="357"/>
    </row>
    <row r="294" spans="21:31" ht="19.5" customHeight="1">
      <c r="U294" s="779" t="s">
        <v>262</v>
      </c>
      <c r="V294" s="780">
        <f>AA73</f>
        <v>38.24393513445797</v>
      </c>
      <c r="W294" s="779" t="s">
        <v>271</v>
      </c>
      <c r="X294" s="780">
        <f>Z83</f>
        <v>60</v>
      </c>
      <c r="AB294" s="610" t="s">
        <v>451</v>
      </c>
      <c r="AC294" s="516">
        <f>AD316</f>
        <v>191.64567250641844</v>
      </c>
      <c r="AD294" s="355"/>
      <c r="AE294" s="355"/>
    </row>
    <row r="295" spans="30:31" ht="19.5" customHeight="1">
      <c r="AD295" s="355"/>
      <c r="AE295" s="355"/>
    </row>
    <row r="296" spans="25:31" ht="19.5" customHeight="1" thickBot="1">
      <c r="Y296" s="357"/>
      <c r="AC296" s="355"/>
      <c r="AD296" s="355"/>
      <c r="AE296" s="355"/>
    </row>
    <row r="297" spans="20:31" ht="19.5" customHeight="1" thickBot="1">
      <c r="T297" s="612" t="str">
        <f>B15</f>
        <v>Yük payı faktörü</v>
      </c>
      <c r="U297" s="613"/>
      <c r="V297" s="355" t="s">
        <v>452</v>
      </c>
      <c r="W297" s="355"/>
      <c r="X297" s="357"/>
      <c r="Y297" s="355"/>
      <c r="AC297" s="611" t="s">
        <v>345</v>
      </c>
      <c r="AD297" s="531">
        <f>IF(W303&gt;1,AA303,IF(Z311=0,AA299,AA301))</f>
        <v>0.7454899621497447</v>
      </c>
      <c r="AE297" s="355"/>
    </row>
    <row r="298" spans="24:31" ht="19.5" customHeight="1">
      <c r="X298" s="357"/>
      <c r="AC298" s="355"/>
      <c r="AD298" s="355"/>
      <c r="AE298" s="355"/>
    </row>
    <row r="299" spans="20:31" ht="19.5" customHeight="1">
      <c r="T299" s="416" t="s">
        <v>453</v>
      </c>
      <c r="U299" s="357"/>
      <c r="V299" s="355"/>
      <c r="W299" s="355"/>
      <c r="X299" s="357"/>
      <c r="Y299" s="355"/>
      <c r="Z299" s="433" t="s">
        <v>454</v>
      </c>
      <c r="AA299" s="521">
        <f>((4-Y303)/3)^0.5</f>
        <v>0.8564747294414417</v>
      </c>
      <c r="AC299" s="355"/>
      <c r="AD299" s="355"/>
      <c r="AE299" s="355"/>
    </row>
    <row r="300" spans="24:31" ht="19.5" customHeight="1">
      <c r="X300" s="357"/>
      <c r="Y300" s="357"/>
      <c r="Z300" s="357"/>
      <c r="AA300" s="416"/>
      <c r="AB300" s="416"/>
      <c r="AC300" s="357"/>
      <c r="AD300" s="357"/>
      <c r="AE300" s="357"/>
    </row>
    <row r="301" spans="20:27" ht="19.5" customHeight="1">
      <c r="T301" s="416" t="s">
        <v>455</v>
      </c>
      <c r="U301" s="357"/>
      <c r="V301" s="357"/>
      <c r="W301" s="357"/>
      <c r="X301" s="357"/>
      <c r="Z301" s="433" t="s">
        <v>454</v>
      </c>
      <c r="AA301" s="521">
        <f>((4-Y303)*(1-W303)/3+W303/Y303)^0.5</f>
        <v>0.5929110882988916</v>
      </c>
    </row>
    <row r="302" spans="20:28" ht="19.5" customHeight="1">
      <c r="T302" s="443"/>
      <c r="U302" s="355"/>
      <c r="V302" s="355"/>
      <c r="W302" s="355"/>
      <c r="X302" s="355"/>
      <c r="Y302" s="355"/>
      <c r="Z302" s="433"/>
      <c r="AA302" s="443"/>
      <c r="AB302" s="552"/>
    </row>
    <row r="303" spans="20:31" ht="19.5" customHeight="1">
      <c r="T303" s="449" t="s">
        <v>552</v>
      </c>
      <c r="U303" s="355"/>
      <c r="V303" s="759" t="s">
        <v>597</v>
      </c>
      <c r="W303" s="751">
        <f>2!D41</f>
        <v>2.148588221777709</v>
      </c>
      <c r="X303" s="759" t="s">
        <v>598</v>
      </c>
      <c r="Y303" s="751">
        <f>2!D39</f>
        <v>1.7993531134846281</v>
      </c>
      <c r="Z303" s="433" t="s">
        <v>454</v>
      </c>
      <c r="AA303" s="521">
        <f>(1/Y303)^0.5</f>
        <v>0.7454899621497447</v>
      </c>
      <c r="AB303" s="552"/>
      <c r="AE303" s="355"/>
    </row>
    <row r="304" spans="20:21" ht="19.5" customHeight="1">
      <c r="T304" s="416"/>
      <c r="U304" s="355"/>
    </row>
    <row r="305" spans="20:21" ht="19.5" customHeight="1">
      <c r="T305" s="416"/>
      <c r="U305" s="355"/>
    </row>
    <row r="306" ht="19.5" customHeight="1" thickBot="1"/>
    <row r="307" spans="20:30" ht="19.5" customHeight="1" thickBot="1">
      <c r="T307" s="612" t="str">
        <f>B16</f>
        <v>Helis faktörü </v>
      </c>
      <c r="U307" s="613"/>
      <c r="V307" s="355" t="s">
        <v>456</v>
      </c>
      <c r="W307" s="355"/>
      <c r="X307" s="357"/>
      <c r="Y307" s="355"/>
      <c r="AC307" s="611" t="s">
        <v>457</v>
      </c>
      <c r="AD307" s="531">
        <f>(Z308)^0.5</f>
        <v>0.9702194214996553</v>
      </c>
    </row>
    <row r="308" spans="25:26" ht="19.5" customHeight="1">
      <c r="Y308" s="602" t="s">
        <v>458</v>
      </c>
      <c r="Z308" s="634">
        <f>COS(Z311*PI()/180)</f>
        <v>0.941325725855126</v>
      </c>
    </row>
    <row r="309" ht="19.5" customHeight="1"/>
    <row r="310" spans="20:28" ht="19.5" customHeight="1" thickBot="1">
      <c r="T310" s="443"/>
      <c r="U310" s="355"/>
      <c r="V310" s="355"/>
      <c r="W310" s="357"/>
      <c r="X310" s="357"/>
      <c r="AA310" s="416"/>
      <c r="AB310" s="416"/>
    </row>
    <row r="311" spans="17:31" ht="19.5" customHeight="1" thickBot="1">
      <c r="Q311" s="355"/>
      <c r="R311" s="355"/>
      <c r="S311" s="605"/>
      <c r="T311" s="612" t="str">
        <f>H15</f>
        <v>Diş yanağı form faktörü </v>
      </c>
      <c r="U311" s="613"/>
      <c r="V311" s="355" t="s">
        <v>104</v>
      </c>
      <c r="Y311" s="781" t="s">
        <v>283</v>
      </c>
      <c r="Z311" s="803">
        <f>Y103</f>
        <v>19.7246</v>
      </c>
      <c r="AC311" s="611" t="s">
        <v>450</v>
      </c>
      <c r="AD311" s="531">
        <f>(2*Z314/Z313^2/Z312)^0.5</f>
        <v>2.953291984289061</v>
      </c>
      <c r="AE311" s="355"/>
    </row>
    <row r="312" spans="17:31" ht="19.5" customHeight="1">
      <c r="Q312" s="355"/>
      <c r="R312" s="355"/>
      <c r="S312" s="605"/>
      <c r="T312" s="416"/>
      <c r="U312" s="357"/>
      <c r="V312" s="355"/>
      <c r="W312" s="782" t="s">
        <v>583</v>
      </c>
      <c r="X312" s="801">
        <f>2!D21</f>
        <v>14.035265878251776</v>
      </c>
      <c r="Y312" s="779" t="s">
        <v>459</v>
      </c>
      <c r="Z312" s="785">
        <f>TAN(X312*PI()/180)</f>
        <v>0.24998187153385903</v>
      </c>
      <c r="AA312" s="416"/>
      <c r="AB312" s="416"/>
      <c r="AC312" s="355"/>
      <c r="AD312" s="355"/>
      <c r="AE312" s="355"/>
    </row>
    <row r="313" spans="17:31" ht="19.5" customHeight="1">
      <c r="Q313" s="355"/>
      <c r="R313" s="355"/>
      <c r="S313" s="605"/>
      <c r="T313" s="448"/>
      <c r="U313" s="355"/>
      <c r="V313" s="355"/>
      <c r="W313" s="782" t="s">
        <v>584</v>
      </c>
      <c r="X313" s="801">
        <f>2!D19</f>
        <v>21.139345796412922</v>
      </c>
      <c r="Y313" s="779" t="s">
        <v>604</v>
      </c>
      <c r="Z313" s="785">
        <f>COS(X313*PI()/180)</f>
        <v>0.9327061001278074</v>
      </c>
      <c r="AA313" s="443"/>
      <c r="AB313" s="443"/>
      <c r="AC313" s="355"/>
      <c r="AD313" s="355"/>
      <c r="AE313" s="355"/>
    </row>
    <row r="314" spans="17:31" ht="19.5" customHeight="1">
      <c r="Q314" s="355"/>
      <c r="R314" s="355"/>
      <c r="S314" s="605"/>
      <c r="T314" s="448"/>
      <c r="U314" s="355"/>
      <c r="V314" s="355"/>
      <c r="W314" s="782" t="s">
        <v>582</v>
      </c>
      <c r="X314" s="802">
        <f>2!D26</f>
        <v>18.490398950192272</v>
      </c>
      <c r="Y314" s="779" t="s">
        <v>460</v>
      </c>
      <c r="Z314" s="783">
        <f>COS(X314*PI()/180)</f>
        <v>0.9483768126109514</v>
      </c>
      <c r="AA314" s="443"/>
      <c r="AB314" s="443"/>
      <c r="AC314" s="355"/>
      <c r="AD314" s="355"/>
      <c r="AE314" s="355"/>
    </row>
    <row r="315" spans="17:31" ht="19.5" customHeight="1" thickBot="1">
      <c r="Q315" s="355"/>
      <c r="R315" s="355"/>
      <c r="S315" s="605"/>
      <c r="AC315" s="355"/>
      <c r="AD315" s="355"/>
      <c r="AE315" s="355"/>
    </row>
    <row r="316" spans="17:31" ht="19.5" customHeight="1" thickBot="1">
      <c r="Q316" s="355"/>
      <c r="R316" s="355"/>
      <c r="S316" s="605"/>
      <c r="T316" s="612" t="str">
        <f>H16</f>
        <v>Elastikiyet faktörü </v>
      </c>
      <c r="U316" s="613"/>
      <c r="V316" s="355" t="s">
        <v>105</v>
      </c>
      <c r="W316" s="355"/>
      <c r="X316" s="355"/>
      <c r="Y316" s="355"/>
      <c r="AC316" s="611" t="s">
        <v>451</v>
      </c>
      <c r="AD316" s="531">
        <f>(1/(PI()*((1-X318^2)/Z318+(1-X319^2)/Z319)))^0.5</f>
        <v>191.64567250641844</v>
      </c>
      <c r="AE316" s="355"/>
    </row>
    <row r="317" spans="17:31" ht="19.5" customHeight="1">
      <c r="Q317" s="355"/>
      <c r="R317" s="355"/>
      <c r="S317" s="605"/>
      <c r="T317" s="443"/>
      <c r="U317" s="355"/>
      <c r="Z317" s="355"/>
      <c r="AA317" s="443"/>
      <c r="AB317" s="443"/>
      <c r="AE317" s="355"/>
    </row>
    <row r="318" spans="17:31" ht="19.5" customHeight="1">
      <c r="Q318" s="355"/>
      <c r="R318" s="355"/>
      <c r="S318" s="605"/>
      <c r="T318" s="443"/>
      <c r="U318" s="355"/>
      <c r="V318" s="355"/>
      <c r="W318" s="759" t="s">
        <v>568</v>
      </c>
      <c r="X318" s="761">
        <f>1!F29</f>
        <v>0.3</v>
      </c>
      <c r="Y318" s="757" t="s">
        <v>569</v>
      </c>
      <c r="Z318" s="758">
        <f>1!F27</f>
        <v>210000</v>
      </c>
      <c r="AA318" s="443"/>
      <c r="AB318" s="443"/>
      <c r="AE318" s="355"/>
    </row>
    <row r="319" spans="17:31" ht="19.5" customHeight="1">
      <c r="Q319" s="355"/>
      <c r="R319" s="355"/>
      <c r="S319" s="605"/>
      <c r="T319" s="444"/>
      <c r="U319" s="636"/>
      <c r="V319" s="636"/>
      <c r="W319" s="759" t="s">
        <v>570</v>
      </c>
      <c r="X319" s="761">
        <f>1!F29</f>
        <v>0.3</v>
      </c>
      <c r="Y319" s="757" t="s">
        <v>571</v>
      </c>
      <c r="Z319" s="758">
        <f>1!F28</f>
        <v>210000</v>
      </c>
      <c r="AA319" s="443"/>
      <c r="AE319" s="355"/>
    </row>
    <row r="320" spans="17:31" ht="19.5" customHeight="1">
      <c r="Q320" s="355"/>
      <c r="R320" s="355"/>
      <c r="S320" s="605"/>
      <c r="T320" s="444"/>
      <c r="U320" s="636"/>
      <c r="V320" s="636"/>
      <c r="W320" s="355"/>
      <c r="X320" s="357"/>
      <c r="Y320" s="355"/>
      <c r="Z320" s="355"/>
      <c r="AA320" s="443"/>
      <c r="AE320" s="355"/>
    </row>
    <row r="321" spans="17:31" ht="19.5" customHeight="1" thickBot="1">
      <c r="Q321" s="355"/>
      <c r="R321" s="355"/>
      <c r="S321" s="605"/>
      <c r="T321" s="444"/>
      <c r="U321" s="636"/>
      <c r="V321" s="636"/>
      <c r="W321" s="355"/>
      <c r="X321" s="357"/>
      <c r="Y321" s="355"/>
      <c r="Z321" s="355"/>
      <c r="AA321" s="443"/>
      <c r="AB321" s="443"/>
      <c r="AC321" s="355"/>
      <c r="AD321" s="355"/>
      <c r="AE321" s="355"/>
    </row>
    <row r="322" spans="17:31" ht="19.5" customHeight="1" thickBot="1">
      <c r="Q322" s="355"/>
      <c r="R322" s="355"/>
      <c r="S322" s="605"/>
      <c r="T322" s="606" t="str">
        <f>H24</f>
        <v>Diş yanağı form mukavemeti</v>
      </c>
      <c r="U322" s="607"/>
      <c r="V322" s="607"/>
      <c r="W322" s="355"/>
      <c r="X322" s="357"/>
      <c r="Y322" s="355"/>
      <c r="Z322" s="355"/>
      <c r="AA322" s="443"/>
      <c r="AC322" s="637" t="s">
        <v>461</v>
      </c>
      <c r="AD322" s="638">
        <f>Z326*AD334*AD341*AD353*AD361*AD376</f>
        <v>1231.3638049790652</v>
      </c>
      <c r="AE322" s="355"/>
    </row>
    <row r="323" spans="17:31" ht="19.5" customHeight="1" thickBot="1">
      <c r="Q323" s="355"/>
      <c r="R323" s="355"/>
      <c r="S323" s="605"/>
      <c r="W323" s="355"/>
      <c r="X323" s="357"/>
      <c r="Y323" s="355"/>
      <c r="Z323" s="355"/>
      <c r="AA323" s="443"/>
      <c r="AC323" s="443"/>
      <c r="AD323" s="355"/>
      <c r="AE323" s="355"/>
    </row>
    <row r="324" spans="17:31" ht="19.5" customHeight="1" thickBot="1">
      <c r="Q324" s="355"/>
      <c r="R324" s="355"/>
      <c r="S324" s="605"/>
      <c r="W324" s="355"/>
      <c r="X324" s="357"/>
      <c r="Y324" s="355"/>
      <c r="Z324" s="355"/>
      <c r="AA324" s="443"/>
      <c r="AC324" s="637" t="s">
        <v>462</v>
      </c>
      <c r="AD324" s="638">
        <f>Z327*AD334*AD341*AD353*AD361*AD376</f>
        <v>1231.3638049790652</v>
      </c>
      <c r="AE324" s="355"/>
    </row>
    <row r="325" spans="17:31" ht="19.5" customHeight="1">
      <c r="Q325" s="355"/>
      <c r="R325" s="355"/>
      <c r="S325" s="605"/>
      <c r="T325" s="443"/>
      <c r="U325" s="355"/>
      <c r="V325" s="355"/>
      <c r="W325" s="355"/>
      <c r="X325" s="357"/>
      <c r="Y325" s="355"/>
      <c r="Z325" s="355"/>
      <c r="AA325" s="443"/>
      <c r="AB325" s="443"/>
      <c r="AC325" s="355"/>
      <c r="AD325" s="355"/>
      <c r="AE325" s="355"/>
    </row>
    <row r="326" spans="17:31" ht="19.5" customHeight="1">
      <c r="Q326" s="355"/>
      <c r="R326" s="355"/>
      <c r="S326" s="605"/>
      <c r="Y326" s="781" t="s">
        <v>585</v>
      </c>
      <c r="Z326" s="894">
        <f>IF(E9&lt;850,850,IF(E9&gt;1200,1200,E9))</f>
        <v>1100</v>
      </c>
      <c r="AA326" s="894"/>
      <c r="AB326" s="610" t="s">
        <v>463</v>
      </c>
      <c r="AC326" s="516">
        <f>AD334</f>
        <v>1.2370058841467824</v>
      </c>
      <c r="AE326" s="355"/>
    </row>
    <row r="327" spans="17:31" ht="19.5" customHeight="1">
      <c r="Q327" s="355"/>
      <c r="R327" s="355"/>
      <c r="S327" s="605"/>
      <c r="T327" s="443"/>
      <c r="U327" s="355"/>
      <c r="V327" s="355"/>
      <c r="W327" s="355"/>
      <c r="X327" s="357"/>
      <c r="Y327" s="781" t="s">
        <v>586</v>
      </c>
      <c r="Z327" s="894">
        <f>IF(F9&lt;850,850,IF(F9&gt;1200,1200,F9))</f>
        <v>1100</v>
      </c>
      <c r="AA327" s="894"/>
      <c r="AB327" s="610" t="s">
        <v>464</v>
      </c>
      <c r="AC327" s="516">
        <f>AD341</f>
        <v>1.016700364431487</v>
      </c>
      <c r="AE327" s="355"/>
    </row>
    <row r="328" spans="17:31" ht="19.5" customHeight="1">
      <c r="Q328" s="355"/>
      <c r="R328" s="355"/>
      <c r="S328" s="605"/>
      <c r="Y328" s="355"/>
      <c r="Z328" s="355"/>
      <c r="AA328" s="443"/>
      <c r="AB328" s="610" t="s">
        <v>465</v>
      </c>
      <c r="AC328" s="516">
        <f>AD353</f>
        <v>0.9613256924306119</v>
      </c>
      <c r="AE328" s="355"/>
    </row>
    <row r="329" spans="17:31" ht="19.5" customHeight="1">
      <c r="Q329" s="355"/>
      <c r="R329" s="355"/>
      <c r="S329" s="605"/>
      <c r="Y329" s="355"/>
      <c r="Z329" s="355"/>
      <c r="AA329" s="443"/>
      <c r="AB329" s="610" t="s">
        <v>466</v>
      </c>
      <c r="AC329" s="516">
        <f>AD361</f>
        <v>0.9258878911371474</v>
      </c>
      <c r="AE329" s="355"/>
    </row>
    <row r="330" spans="17:31" ht="19.5" customHeight="1">
      <c r="Q330" s="355"/>
      <c r="R330" s="355"/>
      <c r="S330" s="605"/>
      <c r="Y330" s="355"/>
      <c r="Z330" s="355"/>
      <c r="AA330" s="443"/>
      <c r="AB330" s="610" t="s">
        <v>467</v>
      </c>
      <c r="AC330" s="516">
        <f>AD372</f>
        <v>1</v>
      </c>
      <c r="AE330" s="355"/>
    </row>
    <row r="331" spans="17:31" ht="19.5" customHeight="1">
      <c r="Q331" s="355"/>
      <c r="R331" s="355"/>
      <c r="S331" s="605"/>
      <c r="Y331" s="355"/>
      <c r="Z331" s="355"/>
      <c r="AA331" s="443"/>
      <c r="AB331" s="610" t="s">
        <v>468</v>
      </c>
      <c r="AC331" s="516">
        <f>AD376</f>
        <v>1</v>
      </c>
      <c r="AE331" s="355"/>
    </row>
    <row r="332" spans="17:31" ht="19.5" customHeight="1">
      <c r="Q332" s="355"/>
      <c r="R332" s="355"/>
      <c r="S332" s="605"/>
      <c r="T332" s="443"/>
      <c r="U332" s="355"/>
      <c r="V332" s="355"/>
      <c r="W332" s="355"/>
      <c r="X332" s="357"/>
      <c r="Y332" s="355"/>
      <c r="Z332" s="355"/>
      <c r="AA332" s="443"/>
      <c r="AB332" s="443"/>
      <c r="AC332" s="355"/>
      <c r="AD332" s="355"/>
      <c r="AE332" s="355"/>
    </row>
    <row r="333" spans="17:31" ht="19.5" customHeight="1" thickBot="1">
      <c r="Q333" s="355"/>
      <c r="R333" s="355"/>
      <c r="S333" s="605"/>
      <c r="T333" s="416"/>
      <c r="U333" s="355"/>
      <c r="V333" s="355"/>
      <c r="W333" s="355"/>
      <c r="X333" s="357"/>
      <c r="AA333" s="443"/>
      <c r="AC333" s="355"/>
      <c r="AD333" s="355"/>
      <c r="AE333" s="355"/>
    </row>
    <row r="334" spans="17:30" ht="19.5" customHeight="1" thickBot="1">
      <c r="Q334" s="355"/>
      <c r="R334" s="355"/>
      <c r="T334" s="729" t="str">
        <f>H26</f>
        <v>Dayanma süresi faktörü </v>
      </c>
      <c r="U334" s="640"/>
      <c r="V334" s="355" t="s">
        <v>469</v>
      </c>
      <c r="W334" s="433" t="s">
        <v>419</v>
      </c>
      <c r="X334" s="355">
        <f>Y245</f>
        <v>3000000</v>
      </c>
      <c r="AA334" s="443"/>
      <c r="AC334" s="611" t="s">
        <v>463</v>
      </c>
      <c r="AD334" s="531">
        <f>IF(X334&lt;10^5,1.6,IF(X334&gt;=5*10^7,1,(5*10^7/X334)^0.0756))</f>
        <v>1.2370058841467824</v>
      </c>
    </row>
    <row r="335" spans="17:31" ht="19.5" customHeight="1" thickBot="1">
      <c r="Q335" s="355"/>
      <c r="R335" s="355"/>
      <c r="S335" s="605"/>
      <c r="T335" s="443"/>
      <c r="U335" s="355"/>
      <c r="V335" s="355"/>
      <c r="W335" s="355"/>
      <c r="X335" s="357"/>
      <c r="Y335" s="355"/>
      <c r="Z335" s="355"/>
      <c r="AA335" s="443"/>
      <c r="AC335" s="443"/>
      <c r="AD335" s="355"/>
      <c r="AE335" s="355"/>
    </row>
    <row r="336" spans="17:31" ht="19.5" customHeight="1">
      <c r="Q336" s="355"/>
      <c r="R336" s="355"/>
      <c r="S336" s="605"/>
      <c r="T336" s="895" t="s">
        <v>470</v>
      </c>
      <c r="U336" s="896"/>
      <c r="V336" s="896" t="s">
        <v>471</v>
      </c>
      <c r="W336" s="896"/>
      <c r="X336" s="896"/>
      <c r="Y336" s="897"/>
      <c r="Z336" s="355"/>
      <c r="AA336" s="443"/>
      <c r="AC336" s="443"/>
      <c r="AD336" s="355"/>
      <c r="AE336" s="355"/>
    </row>
    <row r="337" spans="17:31" ht="19.5" customHeight="1">
      <c r="Q337" s="355"/>
      <c r="R337" s="355"/>
      <c r="S337" s="605"/>
      <c r="T337" s="891" t="s">
        <v>472</v>
      </c>
      <c r="U337" s="892"/>
      <c r="V337" s="892" t="s">
        <v>473</v>
      </c>
      <c r="W337" s="892"/>
      <c r="X337" s="892"/>
      <c r="Y337" s="893"/>
      <c r="AA337" s="443"/>
      <c r="AC337" s="468"/>
      <c r="AD337" s="355"/>
      <c r="AE337" s="355"/>
    </row>
    <row r="338" spans="17:31" ht="19.5" customHeight="1">
      <c r="Q338" s="355"/>
      <c r="R338" s="355"/>
      <c r="S338" s="605"/>
      <c r="T338" s="891" t="s">
        <v>474</v>
      </c>
      <c r="U338" s="892"/>
      <c r="V338" s="892" t="s">
        <v>475</v>
      </c>
      <c r="W338" s="892"/>
      <c r="X338" s="892"/>
      <c r="Y338" s="893"/>
      <c r="AA338" s="443"/>
      <c r="AC338" s="443"/>
      <c r="AD338" s="355"/>
      <c r="AE338" s="355"/>
    </row>
    <row r="339" spans="17:31" ht="19.5" customHeight="1" thickBot="1">
      <c r="Q339" s="355"/>
      <c r="R339" s="355"/>
      <c r="S339" s="605"/>
      <c r="T339" s="884" t="s">
        <v>476</v>
      </c>
      <c r="U339" s="885"/>
      <c r="V339" s="885" t="s">
        <v>477</v>
      </c>
      <c r="W339" s="885"/>
      <c r="X339" s="885"/>
      <c r="Y339" s="886"/>
      <c r="Z339" s="355"/>
      <c r="AA339" s="443"/>
      <c r="AC339" s="443"/>
      <c r="AD339" s="355"/>
      <c r="AE339" s="355"/>
    </row>
    <row r="340" spans="17:31" ht="19.5" customHeight="1" thickBot="1">
      <c r="Q340" s="355"/>
      <c r="R340" s="355"/>
      <c r="AC340" s="468"/>
      <c r="AD340" s="355"/>
      <c r="AE340" s="355"/>
    </row>
    <row r="341" spans="17:30" ht="19.5" customHeight="1" thickBot="1">
      <c r="Q341" s="355"/>
      <c r="R341" s="355"/>
      <c r="T341" s="639" t="str">
        <f>H27</f>
        <v>Yağlama faktörü</v>
      </c>
      <c r="U341" s="640"/>
      <c r="V341" s="355" t="s">
        <v>106</v>
      </c>
      <c r="X341" s="759" t="s">
        <v>572</v>
      </c>
      <c r="Y341" s="758">
        <f>1!D9</f>
        <v>50</v>
      </c>
      <c r="AC341" s="611" t="s">
        <v>464</v>
      </c>
      <c r="AD341" s="531">
        <f>IF(Y341=50,AB343,AB347)</f>
        <v>1.016700364431487</v>
      </c>
    </row>
    <row r="342" spans="17:31" ht="19.5" customHeight="1">
      <c r="Q342" s="355"/>
      <c r="R342" s="355"/>
      <c r="S342" s="605"/>
      <c r="T342" s="443"/>
      <c r="U342" s="355"/>
      <c r="V342" s="355" t="str">
        <f>0!C111</f>
        <v>Yağ ve Viskositesi</v>
      </c>
      <c r="W342" s="355"/>
      <c r="X342" s="635" t="s">
        <v>554</v>
      </c>
      <c r="Y342" s="177">
        <v>50</v>
      </c>
      <c r="Z342" s="764">
        <f>1!F9</f>
        <v>120</v>
      </c>
      <c r="AA342" s="443"/>
      <c r="AB342" s="552"/>
      <c r="AC342" s="355"/>
      <c r="AD342" s="355"/>
      <c r="AE342" s="355"/>
    </row>
    <row r="343" spans="17:31" ht="19.5" customHeight="1">
      <c r="Q343" s="355"/>
      <c r="R343" s="355"/>
      <c r="S343" s="605"/>
      <c r="T343" s="443"/>
      <c r="U343" s="355"/>
      <c r="V343" s="355"/>
      <c r="W343" s="355"/>
      <c r="X343" s="357"/>
      <c r="Y343" s="355"/>
      <c r="Z343" s="433" t="s">
        <v>478</v>
      </c>
      <c r="AA343" s="521">
        <f>AA350+4*(1-AA350)/(1.2+80/Z342)^2</f>
        <v>1.016700364431487</v>
      </c>
      <c r="AB343" s="507">
        <f>IF(AA343&lt;AA344,AA343,AA344)</f>
        <v>1.016700364431487</v>
      </c>
      <c r="AC343" s="355"/>
      <c r="AD343" s="355"/>
      <c r="AE343" s="355"/>
    </row>
    <row r="344" spans="17:31" ht="19.5" customHeight="1">
      <c r="Q344" s="355"/>
      <c r="R344" s="355"/>
      <c r="S344" s="605"/>
      <c r="T344" s="443"/>
      <c r="U344" s="355"/>
      <c r="V344" s="355"/>
      <c r="W344" s="355"/>
      <c r="X344" s="357"/>
      <c r="Y344" s="355"/>
      <c r="Z344" s="433" t="s">
        <v>479</v>
      </c>
      <c r="AA344" s="521">
        <f>AA351+4*(1-AA351)/(1.2+80/Z342)^2</f>
        <v>1.016700364431487</v>
      </c>
      <c r="AB344" s="552"/>
      <c r="AC344" s="355"/>
      <c r="AD344" s="355"/>
      <c r="AE344" s="355"/>
    </row>
    <row r="345" spans="17:31" ht="19.5" customHeight="1">
      <c r="Q345" s="355"/>
      <c r="R345" s="355"/>
      <c r="S345" s="605"/>
      <c r="U345" s="355"/>
      <c r="Z345" s="433"/>
      <c r="AA345" s="443"/>
      <c r="AB345" s="552"/>
      <c r="AC345" s="355"/>
      <c r="AD345" s="355"/>
      <c r="AE345" s="355"/>
    </row>
    <row r="346" spans="17:31" ht="19.5" customHeight="1">
      <c r="Q346" s="355"/>
      <c r="R346" s="355"/>
      <c r="S346" s="605"/>
      <c r="T346" s="443"/>
      <c r="U346" s="355"/>
      <c r="V346" s="355" t="str">
        <f>0!C111</f>
        <v>Yağ ve Viskositesi</v>
      </c>
      <c r="X346" s="759" t="s">
        <v>572</v>
      </c>
      <c r="Y346" s="758">
        <f>1!D9</f>
        <v>50</v>
      </c>
      <c r="Z346" s="355">
        <f>Z342</f>
        <v>120</v>
      </c>
      <c r="AA346" s="443"/>
      <c r="AB346" s="443"/>
      <c r="AC346" s="355"/>
      <c r="AD346" s="355"/>
      <c r="AE346" s="355"/>
    </row>
    <row r="347" spans="17:31" ht="19.5" customHeight="1">
      <c r="Q347" s="355"/>
      <c r="R347" s="355"/>
      <c r="S347" s="605"/>
      <c r="W347" s="355"/>
      <c r="X347" s="357"/>
      <c r="Y347" s="355"/>
      <c r="Z347" s="433" t="s">
        <v>480</v>
      </c>
      <c r="AA347" s="521">
        <f>AA350+4*(1-AA350)/(1.2+134/Z346)^2</f>
        <v>0.9712519900626262</v>
      </c>
      <c r="AB347" s="507">
        <f>IF(AA347&lt;AA348,AA347,AA348)</f>
        <v>0.9712519900626262</v>
      </c>
      <c r="AC347" s="355"/>
      <c r="AD347" s="355"/>
      <c r="AE347" s="355"/>
    </row>
    <row r="348" spans="17:31" ht="19.5" customHeight="1">
      <c r="Q348" s="355"/>
      <c r="R348" s="355"/>
      <c r="S348" s="605"/>
      <c r="T348" s="416"/>
      <c r="U348" s="355"/>
      <c r="V348" s="355"/>
      <c r="W348" s="355"/>
      <c r="X348" s="357"/>
      <c r="Y348" s="355"/>
      <c r="Z348" s="433" t="s">
        <v>481</v>
      </c>
      <c r="AA348" s="521">
        <f>AA351+4*(1-AA351)/(1.2+134/Z346)^2</f>
        <v>0.9712519900626262</v>
      </c>
      <c r="AC348" s="355"/>
      <c r="AD348" s="355"/>
      <c r="AE348" s="355"/>
    </row>
    <row r="349" spans="17:31" ht="19.5" customHeight="1">
      <c r="Q349" s="355"/>
      <c r="R349" s="355"/>
      <c r="S349" s="605"/>
      <c r="T349" s="443"/>
      <c r="U349" s="355"/>
      <c r="X349" s="357"/>
      <c r="AC349" s="355"/>
      <c r="AD349" s="355"/>
      <c r="AE349" s="355"/>
    </row>
    <row r="350" spans="17:31" ht="19.5" customHeight="1">
      <c r="Q350" s="355"/>
      <c r="R350" s="355"/>
      <c r="S350" s="605"/>
      <c r="T350" s="416"/>
      <c r="U350" s="355"/>
      <c r="V350" s="355"/>
      <c r="W350" s="355"/>
      <c r="X350" s="355"/>
      <c r="Y350" s="355"/>
      <c r="Z350" s="433" t="s">
        <v>482</v>
      </c>
      <c r="AA350" s="521">
        <f>Z326/4375+0.6357</f>
        <v>0.8871285714285715</v>
      </c>
      <c r="AC350" s="355"/>
      <c r="AD350" s="355"/>
      <c r="AE350" s="355"/>
    </row>
    <row r="351" spans="17:31" ht="19.5" customHeight="1">
      <c r="Q351" s="355"/>
      <c r="R351" s="355"/>
      <c r="S351" s="605"/>
      <c r="T351" s="416"/>
      <c r="U351" s="355"/>
      <c r="V351" s="355"/>
      <c r="W351" s="355"/>
      <c r="X351" s="357"/>
      <c r="Y351" s="355"/>
      <c r="Z351" s="433" t="s">
        <v>483</v>
      </c>
      <c r="AA351" s="521">
        <f>Z327/4375+0.6357</f>
        <v>0.8871285714285715</v>
      </c>
      <c r="AC351" s="355"/>
      <c r="AD351" s="355"/>
      <c r="AE351" s="355"/>
    </row>
    <row r="352" spans="17:31" ht="19.5" customHeight="1" thickBot="1">
      <c r="Q352" s="355"/>
      <c r="R352" s="355"/>
      <c r="S352" s="605"/>
      <c r="T352" s="443"/>
      <c r="U352" s="355"/>
      <c r="V352" s="355"/>
      <c r="W352" s="355"/>
      <c r="X352" s="357"/>
      <c r="Y352" s="355"/>
      <c r="AC352" s="355"/>
      <c r="AD352" s="355"/>
      <c r="AE352" s="355"/>
    </row>
    <row r="353" spans="17:31" ht="19.5" customHeight="1" thickBot="1">
      <c r="Q353" s="355"/>
      <c r="R353" s="355"/>
      <c r="T353" s="639" t="str">
        <f>H28</f>
        <v>Hız faktörü</v>
      </c>
      <c r="U353" s="640"/>
      <c r="V353" s="355" t="s">
        <v>107</v>
      </c>
      <c r="W353" s="355"/>
      <c r="X353" s="357"/>
      <c r="Y353" s="355"/>
      <c r="Z353" s="355"/>
      <c r="AA353" s="443"/>
      <c r="AC353" s="611" t="s">
        <v>465</v>
      </c>
      <c r="AD353" s="531">
        <f>IF(AA354&lt;AA355,AA354,AA355)</f>
        <v>0.9613256924306119</v>
      </c>
      <c r="AE353" s="355"/>
    </row>
    <row r="354" spans="17:31" ht="19.5" customHeight="1">
      <c r="Q354" s="355"/>
      <c r="R354" s="355"/>
      <c r="S354" s="605"/>
      <c r="W354" s="1"/>
      <c r="X354" s="1"/>
      <c r="Z354" s="433" t="s">
        <v>484</v>
      </c>
      <c r="AA354" s="521">
        <f>AA357+2*(1-AA357)/(0.8+32/W356)^0.5</f>
        <v>0.9613256924306119</v>
      </c>
      <c r="AC354" s="355"/>
      <c r="AD354" s="355"/>
      <c r="AE354" s="355"/>
    </row>
    <row r="355" spans="17:31" ht="19.5" customHeight="1">
      <c r="Q355" s="355"/>
      <c r="R355" s="355"/>
      <c r="S355" s="605"/>
      <c r="T355" s="443"/>
      <c r="U355" s="355"/>
      <c r="V355" s="355"/>
      <c r="Z355" s="433" t="s">
        <v>485</v>
      </c>
      <c r="AA355" s="521">
        <f>AA358+2*(1-AA358)/(0.8+32/W356)^0.5</f>
        <v>0.9613256924306119</v>
      </c>
      <c r="AC355" s="355"/>
      <c r="AD355" s="355"/>
      <c r="AE355" s="355"/>
    </row>
    <row r="356" spans="17:31" ht="19.5" customHeight="1">
      <c r="Q356" s="355"/>
      <c r="R356" s="355"/>
      <c r="S356" s="605"/>
      <c r="T356" s="416"/>
      <c r="U356" s="355"/>
      <c r="V356" s="433" t="s">
        <v>327</v>
      </c>
      <c r="W356" s="510">
        <f>Y105</f>
        <v>2.923573731127591</v>
      </c>
      <c r="X356" s="355" t="s">
        <v>486</v>
      </c>
      <c r="AC356" s="355"/>
      <c r="AD356" s="355"/>
      <c r="AE356" s="355"/>
    </row>
    <row r="357" spans="17:31" ht="19.5" customHeight="1">
      <c r="Q357" s="355"/>
      <c r="R357" s="355"/>
      <c r="S357" s="605"/>
      <c r="T357" s="443"/>
      <c r="U357" s="355"/>
      <c r="V357" s="355"/>
      <c r="Z357" s="433" t="s">
        <v>487</v>
      </c>
      <c r="AA357" s="521">
        <f>AA350+0.02</f>
        <v>0.9071285714285715</v>
      </c>
      <c r="AC357" s="355"/>
      <c r="AD357" s="355"/>
      <c r="AE357" s="355"/>
    </row>
    <row r="358" spans="17:31" ht="19.5" customHeight="1">
      <c r="Q358" s="355"/>
      <c r="R358" s="355"/>
      <c r="S358" s="605"/>
      <c r="T358" s="416"/>
      <c r="U358" s="355"/>
      <c r="V358" s="355"/>
      <c r="Z358" s="433" t="s">
        <v>488</v>
      </c>
      <c r="AA358" s="521">
        <f>AA351+0.02</f>
        <v>0.9071285714285715</v>
      </c>
      <c r="AC358" s="355"/>
      <c r="AD358" s="355"/>
      <c r="AE358" s="355"/>
    </row>
    <row r="359" spans="17:31" ht="19.5" customHeight="1">
      <c r="Q359" s="355"/>
      <c r="R359" s="355"/>
      <c r="S359" s="605"/>
      <c r="T359" s="443"/>
      <c r="U359" s="355"/>
      <c r="V359" s="355"/>
      <c r="AC359" s="355"/>
      <c r="AD359" s="355"/>
      <c r="AE359" s="355"/>
    </row>
    <row r="360" spans="17:31" ht="19.5" customHeight="1" thickBot="1">
      <c r="Q360" s="355"/>
      <c r="R360" s="355"/>
      <c r="S360" s="605"/>
      <c r="T360" s="416"/>
      <c r="U360" s="355"/>
      <c r="V360" s="355"/>
      <c r="AC360" s="355"/>
      <c r="AD360" s="355"/>
      <c r="AE360" s="355"/>
    </row>
    <row r="361" spans="17:31" ht="19.5" customHeight="1" thickBot="1">
      <c r="Q361" s="355"/>
      <c r="R361" s="355"/>
      <c r="T361" s="639" t="str">
        <f>H29</f>
        <v>Kalite faktörü</v>
      </c>
      <c r="U361" s="640"/>
      <c r="V361" s="355" t="s">
        <v>108</v>
      </c>
      <c r="W361" s="355"/>
      <c r="X361" s="357"/>
      <c r="Y361" s="355"/>
      <c r="AC361" s="611" t="s">
        <v>466</v>
      </c>
      <c r="AD361" s="531">
        <f>(3/AA365)^AA367</f>
        <v>0.9258878911371474</v>
      </c>
      <c r="AE361" s="355"/>
    </row>
    <row r="362" spans="17:31" ht="19.5" customHeight="1">
      <c r="Q362" s="355"/>
      <c r="R362" s="355"/>
      <c r="S362" s="605"/>
      <c r="T362" s="443"/>
      <c r="U362" s="355"/>
      <c r="V362" s="355"/>
      <c r="W362" s="355"/>
      <c r="X362" s="357"/>
      <c r="Y362" s="355"/>
      <c r="Z362" s="355"/>
      <c r="AA362" s="443"/>
      <c r="AB362" s="443"/>
      <c r="AC362" s="355"/>
      <c r="AD362" s="355"/>
      <c r="AE362" s="355"/>
    </row>
    <row r="363" spans="17:31" ht="19.5" customHeight="1">
      <c r="Q363" s="355"/>
      <c r="R363" s="355"/>
      <c r="S363" s="605"/>
      <c r="W363" s="355"/>
      <c r="X363" s="357"/>
      <c r="Y363" s="355"/>
      <c r="Z363" s="433"/>
      <c r="AA363" s="552"/>
      <c r="AC363" s="355"/>
      <c r="AD363" s="355"/>
      <c r="AE363" s="355"/>
    </row>
    <row r="364" spans="17:31" ht="19.5" customHeight="1">
      <c r="Q364" s="355"/>
      <c r="R364" s="355"/>
      <c r="S364" s="605"/>
      <c r="T364" s="443"/>
      <c r="U364" s="355"/>
      <c r="V364" s="355"/>
      <c r="W364" s="757" t="s">
        <v>490</v>
      </c>
      <c r="X364" s="758">
        <f>2!D12</f>
        <v>91.92</v>
      </c>
      <c r="Z364" s="433"/>
      <c r="AA364" s="552"/>
      <c r="AC364" s="355"/>
      <c r="AD364" s="355"/>
      <c r="AE364" s="355"/>
    </row>
    <row r="365" spans="17:31" ht="19.5" customHeight="1">
      <c r="Q365" s="355"/>
      <c r="R365" s="355"/>
      <c r="S365" s="605"/>
      <c r="T365" s="443"/>
      <c r="U365" s="355"/>
      <c r="V365" s="355"/>
      <c r="W365" s="433" t="s">
        <v>492</v>
      </c>
      <c r="X365" s="177">
        <f>AA266</f>
        <v>6.3</v>
      </c>
      <c r="Z365" s="433" t="s">
        <v>493</v>
      </c>
      <c r="AA365" s="552">
        <f>(X365+X366)/2*(100/X364)^0.333333333</f>
        <v>6.4794360948982295</v>
      </c>
      <c r="AC365" s="355"/>
      <c r="AD365" s="355"/>
      <c r="AE365" s="355"/>
    </row>
    <row r="366" spans="17:31" ht="19.5" customHeight="1">
      <c r="Q366" s="355"/>
      <c r="R366" s="355"/>
      <c r="S366" s="605"/>
      <c r="T366" s="416"/>
      <c r="U366" s="355"/>
      <c r="V366" s="355"/>
      <c r="W366" s="433" t="s">
        <v>494</v>
      </c>
      <c r="X366" s="177">
        <f>AC266</f>
        <v>6.3</v>
      </c>
      <c r="Z366" s="355"/>
      <c r="AA366" s="443"/>
      <c r="AC366" s="355"/>
      <c r="AD366" s="355"/>
      <c r="AE366" s="355"/>
    </row>
    <row r="367" spans="17:31" ht="19.5" customHeight="1">
      <c r="Q367" s="355"/>
      <c r="R367" s="355"/>
      <c r="S367" s="605"/>
      <c r="T367" s="416"/>
      <c r="U367" s="355"/>
      <c r="V367" s="355"/>
      <c r="Y367" s="355"/>
      <c r="Z367" s="433" t="s">
        <v>495</v>
      </c>
      <c r="AA367" s="552">
        <f>IF(X368&lt;849,0.15,IF(X368&gt;1200,0.08,0.32-0.0002*X368))</f>
        <v>0.1</v>
      </c>
      <c r="AC367" s="355"/>
      <c r="AD367" s="355"/>
      <c r="AE367" s="355"/>
    </row>
    <row r="368" spans="17:31" ht="19.5" customHeight="1">
      <c r="Q368" s="355"/>
      <c r="R368" s="355"/>
      <c r="S368" s="605"/>
      <c r="T368" s="416"/>
      <c r="U368" s="355"/>
      <c r="V368" s="355"/>
      <c r="W368" s="635" t="s">
        <v>599</v>
      </c>
      <c r="X368" s="537">
        <f>IF(F9&lt;849,850,IF(F9&gt;1200,1200,F9))</f>
        <v>1100</v>
      </c>
      <c r="Y368" s="355"/>
      <c r="Z368" s="433"/>
      <c r="AA368" s="552"/>
      <c r="AC368" s="355"/>
      <c r="AD368" s="355"/>
      <c r="AE368" s="355"/>
    </row>
    <row r="369" spans="17:31" ht="19.5" customHeight="1">
      <c r="Q369" s="355"/>
      <c r="R369" s="355"/>
      <c r="S369" s="605"/>
      <c r="T369" s="416"/>
      <c r="U369" s="355"/>
      <c r="V369" s="355"/>
      <c r="W369" s="355"/>
      <c r="X369" s="357"/>
      <c r="Y369" s="355"/>
      <c r="Z369" s="433"/>
      <c r="AA369" s="443"/>
      <c r="AB369" s="552"/>
      <c r="AC369" s="355"/>
      <c r="AD369" s="355"/>
      <c r="AE369" s="355"/>
    </row>
    <row r="370" spans="17:31" ht="19.5" customHeight="1">
      <c r="Q370" s="355"/>
      <c r="R370" s="355"/>
      <c r="S370" s="605"/>
      <c r="T370" s="416"/>
      <c r="U370" s="355"/>
      <c r="V370" s="355"/>
      <c r="W370" s="355"/>
      <c r="X370" s="357"/>
      <c r="Y370" s="355"/>
      <c r="Z370" s="433"/>
      <c r="AA370" s="443"/>
      <c r="AB370" s="552"/>
      <c r="AC370" s="355"/>
      <c r="AD370" s="355"/>
      <c r="AE370" s="355"/>
    </row>
    <row r="371" spans="17:31" ht="19.5" customHeight="1" thickBot="1">
      <c r="Q371" s="355"/>
      <c r="R371" s="355"/>
      <c r="S371" s="605"/>
      <c r="T371" s="416"/>
      <c r="U371" s="355"/>
      <c r="V371" s="355"/>
      <c r="W371" s="355"/>
      <c r="X371" s="357"/>
      <c r="Y371" s="355"/>
      <c r="Z371" s="433"/>
      <c r="AA371" s="443"/>
      <c r="AB371" s="552"/>
      <c r="AC371" s="355"/>
      <c r="AD371" s="355"/>
      <c r="AE371" s="355"/>
    </row>
    <row r="372" spans="17:31" ht="19.5" customHeight="1" thickBot="1">
      <c r="Q372" s="355"/>
      <c r="R372" s="355"/>
      <c r="T372" s="639" t="str">
        <f>H30</f>
        <v>Malzeme çifti faktörü</v>
      </c>
      <c r="U372" s="640"/>
      <c r="V372" s="355" t="s">
        <v>497</v>
      </c>
      <c r="W372" s="355"/>
      <c r="X372" s="357"/>
      <c r="Y372" s="355"/>
      <c r="Z372" s="177"/>
      <c r="AC372" s="611" t="s">
        <v>467</v>
      </c>
      <c r="AD372" s="531">
        <f>IF(AA374&lt;AA375,AA374,AA375)</f>
        <v>1</v>
      </c>
      <c r="AE372" s="355"/>
    </row>
    <row r="373" spans="17:31" ht="19.5" customHeight="1">
      <c r="Q373" s="355"/>
      <c r="R373" s="355"/>
      <c r="S373" s="605"/>
      <c r="T373" s="416"/>
      <c r="U373" s="355"/>
      <c r="V373" s="355"/>
      <c r="W373" s="355"/>
      <c r="X373" s="357"/>
      <c r="Y373" s="355"/>
      <c r="Z373" s="433"/>
      <c r="AA373" s="443"/>
      <c r="AC373" s="552"/>
      <c r="AD373" s="355"/>
      <c r="AE373" s="355"/>
    </row>
    <row r="374" spans="17:29" ht="19.5" customHeight="1">
      <c r="Q374" s="355"/>
      <c r="R374" s="355"/>
      <c r="U374" s="468"/>
      <c r="W374" s="757" t="s">
        <v>573</v>
      </c>
      <c r="X374" s="758">
        <f>1!F35</f>
        <v>525</v>
      </c>
      <c r="Z374" s="433" t="s">
        <v>498</v>
      </c>
      <c r="AA374" s="552">
        <f>IF(X374&gt;469,1,IF(X374&lt;130,1.2,1.2-(X374-130)/1700))</f>
        <v>1</v>
      </c>
      <c r="AC374" s="468"/>
    </row>
    <row r="375" spans="17:29" ht="19.5" customHeight="1" thickBot="1">
      <c r="Q375" s="355"/>
      <c r="R375" s="355"/>
      <c r="U375" s="468"/>
      <c r="W375" s="757" t="s">
        <v>574</v>
      </c>
      <c r="X375" s="758">
        <f>1!F36</f>
        <v>525</v>
      </c>
      <c r="Z375" s="433" t="s">
        <v>499</v>
      </c>
      <c r="AA375" s="552">
        <f>IF(X375&gt;469,1,IF(X375&lt;130,1.2,1.2-(X375-130)/1700))</f>
        <v>1</v>
      </c>
      <c r="AC375" s="468"/>
    </row>
    <row r="376" spans="17:30" ht="19.5" customHeight="1" thickBot="1">
      <c r="Q376" s="355"/>
      <c r="R376" s="355"/>
      <c r="AC376" s="611" t="s">
        <v>468</v>
      </c>
      <c r="AD376" s="531">
        <f>IF(S383&lt;1.5,AD380,IF(S383&lt;2.5,AD381,AD382))</f>
        <v>1</v>
      </c>
    </row>
    <row r="377" spans="17:31" ht="19.5" customHeight="1" thickBot="1">
      <c r="Q377" s="355"/>
      <c r="R377" s="355"/>
      <c r="T377" s="639" t="str">
        <f>B29</f>
        <v>Büyüklük faktörü</v>
      </c>
      <c r="U377" s="640"/>
      <c r="V377" s="355" t="s">
        <v>500</v>
      </c>
      <c r="X377" s="433" t="s">
        <v>250</v>
      </c>
      <c r="Y377" s="641">
        <f>AA58</f>
        <v>3</v>
      </c>
      <c r="AC377" s="355"/>
      <c r="AD377" s="355"/>
      <c r="AE377" s="355"/>
    </row>
    <row r="378" spans="17:31" ht="19.5" customHeight="1">
      <c r="Q378" s="355"/>
      <c r="R378" s="355"/>
      <c r="S378" s="887" t="s">
        <v>351</v>
      </c>
      <c r="T378" s="888"/>
      <c r="U378" s="888"/>
      <c r="V378" s="888"/>
      <c r="W378" s="888"/>
      <c r="X378" s="888" t="s">
        <v>432</v>
      </c>
      <c r="Y378" s="888"/>
      <c r="Z378" s="888"/>
      <c r="AA378" s="888"/>
      <c r="AB378" s="888"/>
      <c r="AC378" s="890"/>
      <c r="AE378" s="355"/>
    </row>
    <row r="379" spans="17:31" ht="19.5" customHeight="1">
      <c r="Q379" s="355"/>
      <c r="R379" s="355"/>
      <c r="S379" s="889"/>
      <c r="T379" s="880"/>
      <c r="U379" s="880"/>
      <c r="V379" s="880"/>
      <c r="W379" s="880"/>
      <c r="X379" s="437" t="s">
        <v>501</v>
      </c>
      <c r="Y379" s="880" t="s">
        <v>502</v>
      </c>
      <c r="Z379" s="880"/>
      <c r="AA379" s="880"/>
      <c r="AB379" s="880"/>
      <c r="AC379" s="624" t="s">
        <v>503</v>
      </c>
      <c r="AE379" s="355"/>
    </row>
    <row r="380" spans="17:30" ht="19.5" customHeight="1">
      <c r="Q380" s="355"/>
      <c r="R380" s="355"/>
      <c r="S380" s="878" t="str">
        <f>1!L37</f>
        <v>1 - Demir döküm (GG, GGG)</v>
      </c>
      <c r="T380" s="879"/>
      <c r="U380" s="879"/>
      <c r="V380" s="879"/>
      <c r="W380" s="879"/>
      <c r="X380" s="880" t="s">
        <v>504</v>
      </c>
      <c r="Y380" s="880" t="s">
        <v>437</v>
      </c>
      <c r="Z380" s="880"/>
      <c r="AA380" s="880"/>
      <c r="AB380" s="880"/>
      <c r="AC380" s="624" t="s">
        <v>438</v>
      </c>
      <c r="AD380" s="546">
        <f>IF(Y377&lt;7,1,IF(Y377&gt;30,0.7,1.075-0.015*Y377))</f>
        <v>1</v>
      </c>
    </row>
    <row r="381" spans="19:30" ht="19.5" customHeight="1">
      <c r="S381" s="878" t="str">
        <f>1!L38</f>
        <v>2 - Bütün çelikler, (Rm&lt;800 N/mm2, St, GS)</v>
      </c>
      <c r="T381" s="879"/>
      <c r="U381" s="879"/>
      <c r="V381" s="879"/>
      <c r="W381" s="879"/>
      <c r="X381" s="880"/>
      <c r="Y381" s="880" t="s">
        <v>439</v>
      </c>
      <c r="Z381" s="880"/>
      <c r="AA381" s="880"/>
      <c r="AB381" s="880"/>
      <c r="AC381" s="624" t="s">
        <v>505</v>
      </c>
      <c r="AD381" s="573">
        <f>IF(Y377&lt;7,1,IF(Y377&gt;30,0.9,1.03-0.006*Y377))</f>
        <v>1</v>
      </c>
    </row>
    <row r="382" spans="19:30" ht="19.5" customHeight="1" thickBot="1">
      <c r="S382" s="882" t="str">
        <f>1!L39</f>
        <v>3 - Bütün sertleştirilmiş çelikler, (Rm&gt;800 N/mm2)</v>
      </c>
      <c r="T382" s="883"/>
      <c r="U382" s="883"/>
      <c r="V382" s="883"/>
      <c r="W382" s="883"/>
      <c r="X382" s="881"/>
      <c r="Y382" s="881" t="s">
        <v>441</v>
      </c>
      <c r="Z382" s="881"/>
      <c r="AA382" s="881"/>
      <c r="AB382" s="881"/>
      <c r="AC382" s="625" t="s">
        <v>506</v>
      </c>
      <c r="AD382" s="573">
        <f>IF(Y377&lt;7,1,IF(Y377&gt;30,0.8,1.05-0.01*Y377))</f>
        <v>1</v>
      </c>
    </row>
    <row r="383" spans="19:31" ht="15" customHeight="1">
      <c r="S383" s="763">
        <f>S252</f>
        <v>3</v>
      </c>
      <c r="T383" s="443"/>
      <c r="U383" s="355"/>
      <c r="V383" s="355"/>
      <c r="W383" s="355"/>
      <c r="X383" s="355"/>
      <c r="Y383" s="355"/>
      <c r="Z383" s="355"/>
      <c r="AA383" s="443"/>
      <c r="AB383" s="443"/>
      <c r="AC383" s="355"/>
      <c r="AD383" s="355"/>
      <c r="AE383" s="355"/>
    </row>
  </sheetData>
  <sheetProtection password="EF77" sheet="1" objects="1" scenarios="1"/>
  <mergeCells count="146">
    <mergeCell ref="M18:N22"/>
    <mergeCell ref="M10:N17"/>
    <mergeCell ref="S22:AD22"/>
    <mergeCell ref="S24:AD25"/>
    <mergeCell ref="S27:AD27"/>
    <mergeCell ref="S14:AD15"/>
    <mergeCell ref="S17:AD17"/>
    <mergeCell ref="S19:AD20"/>
    <mergeCell ref="E32:F32"/>
    <mergeCell ref="E33:F33"/>
    <mergeCell ref="K34:L34"/>
    <mergeCell ref="K35:L35"/>
    <mergeCell ref="T109:U109"/>
    <mergeCell ref="T110:U110"/>
    <mergeCell ref="T113:U113"/>
    <mergeCell ref="T114:U114"/>
    <mergeCell ref="T124:V126"/>
    <mergeCell ref="W124:AC124"/>
    <mergeCell ref="W125:W126"/>
    <mergeCell ref="T127:V128"/>
    <mergeCell ref="W127:W128"/>
    <mergeCell ref="X127:X128"/>
    <mergeCell ref="Y127:Y128"/>
    <mergeCell ref="Z127:Z128"/>
    <mergeCell ref="AA127:AA128"/>
    <mergeCell ref="AB127:AB128"/>
    <mergeCell ref="AC127:AC128"/>
    <mergeCell ref="AD127:AD128"/>
    <mergeCell ref="T129:V130"/>
    <mergeCell ref="W129:W130"/>
    <mergeCell ref="X129:X130"/>
    <mergeCell ref="Y129:Y130"/>
    <mergeCell ref="Z129:Z130"/>
    <mergeCell ref="AA129:AA130"/>
    <mergeCell ref="AB129:AB130"/>
    <mergeCell ref="AC129:AC130"/>
    <mergeCell ref="AD129:AD130"/>
    <mergeCell ref="T131:V132"/>
    <mergeCell ref="W131:W132"/>
    <mergeCell ref="X131:X132"/>
    <mergeCell ref="Y131:Y132"/>
    <mergeCell ref="Z131:Z132"/>
    <mergeCell ref="AA131:AA132"/>
    <mergeCell ref="AB131:AB132"/>
    <mergeCell ref="AC131:AC132"/>
    <mergeCell ref="AD131:AD132"/>
    <mergeCell ref="T134:T135"/>
    <mergeCell ref="U134:V135"/>
    <mergeCell ref="W134:Y134"/>
    <mergeCell ref="U136:V136"/>
    <mergeCell ref="U137:V137"/>
    <mergeCell ref="U138:V138"/>
    <mergeCell ref="U139:V139"/>
    <mergeCell ref="U140:V140"/>
    <mergeCell ref="U141:V141"/>
    <mergeCell ref="U142:V142"/>
    <mergeCell ref="U161:AA161"/>
    <mergeCell ref="T163:T164"/>
    <mergeCell ref="T166:T167"/>
    <mergeCell ref="T170:T171"/>
    <mergeCell ref="T173:T174"/>
    <mergeCell ref="S177:U178"/>
    <mergeCell ref="V177:AD177"/>
    <mergeCell ref="V178:AC178"/>
    <mergeCell ref="AD178:AD179"/>
    <mergeCell ref="S179:U179"/>
    <mergeCell ref="S180:U180"/>
    <mergeCell ref="S181:S184"/>
    <mergeCell ref="T181:T182"/>
    <mergeCell ref="V181:W182"/>
    <mergeCell ref="T183:T184"/>
    <mergeCell ref="V183:V184"/>
    <mergeCell ref="W183:W184"/>
    <mergeCell ref="X181:X182"/>
    <mergeCell ref="Y181:Y182"/>
    <mergeCell ref="Z181:AD181"/>
    <mergeCell ref="Z182:AD182"/>
    <mergeCell ref="X183:X184"/>
    <mergeCell ref="Y183:Y184"/>
    <mergeCell ref="Z183:AD184"/>
    <mergeCell ref="S185:S188"/>
    <mergeCell ref="T185:T186"/>
    <mergeCell ref="V185:X186"/>
    <mergeCell ref="Y185:Y186"/>
    <mergeCell ref="Z185:AA186"/>
    <mergeCell ref="AB185:AD185"/>
    <mergeCell ref="AB186:AD186"/>
    <mergeCell ref="Z187:AA188"/>
    <mergeCell ref="AB187:AD187"/>
    <mergeCell ref="AB188:AD188"/>
    <mergeCell ref="T211:V211"/>
    <mergeCell ref="T187:T188"/>
    <mergeCell ref="V187:W188"/>
    <mergeCell ref="X187:X188"/>
    <mergeCell ref="Y187:Y188"/>
    <mergeCell ref="S247:W248"/>
    <mergeCell ref="X247:AB247"/>
    <mergeCell ref="Y248:Z248"/>
    <mergeCell ref="AA248:AB248"/>
    <mergeCell ref="S249:W249"/>
    <mergeCell ref="Y249:Z249"/>
    <mergeCell ref="AA249:AB251"/>
    <mergeCell ref="S250:W250"/>
    <mergeCell ref="Y250:Z250"/>
    <mergeCell ref="S251:W251"/>
    <mergeCell ref="Y251:Z251"/>
    <mergeCell ref="S260:W261"/>
    <mergeCell ref="X260:AC260"/>
    <mergeCell ref="X261:Y261"/>
    <mergeCell ref="Z261:AC261"/>
    <mergeCell ref="S262:W262"/>
    <mergeCell ref="Z262:AC262"/>
    <mergeCell ref="S263:W263"/>
    <mergeCell ref="Z263:AC263"/>
    <mergeCell ref="S264:W264"/>
    <mergeCell ref="Z264:AC264"/>
    <mergeCell ref="S272:W273"/>
    <mergeCell ref="X272:AC272"/>
    <mergeCell ref="Y273:AB273"/>
    <mergeCell ref="S274:W274"/>
    <mergeCell ref="X274:X276"/>
    <mergeCell ref="Y274:AB274"/>
    <mergeCell ref="S275:W275"/>
    <mergeCell ref="Y275:AB275"/>
    <mergeCell ref="S276:W276"/>
    <mergeCell ref="Y276:AB276"/>
    <mergeCell ref="Z326:AA326"/>
    <mergeCell ref="Z327:AA327"/>
    <mergeCell ref="T336:U336"/>
    <mergeCell ref="V336:Y336"/>
    <mergeCell ref="T337:U337"/>
    <mergeCell ref="V337:Y337"/>
    <mergeCell ref="T338:U338"/>
    <mergeCell ref="V338:Y338"/>
    <mergeCell ref="T339:U339"/>
    <mergeCell ref="V339:Y339"/>
    <mergeCell ref="S378:W379"/>
    <mergeCell ref="X378:AC378"/>
    <mergeCell ref="Y379:AB379"/>
    <mergeCell ref="S380:W380"/>
    <mergeCell ref="X380:X382"/>
    <mergeCell ref="Y380:AB380"/>
    <mergeCell ref="S381:W381"/>
    <mergeCell ref="Y381:AB381"/>
    <mergeCell ref="S382:W382"/>
    <mergeCell ref="Y382:AB382"/>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90" r:id="rId58"/>
  <headerFooter alignWithMargins="0">
    <oddFooter>&amp;L&amp;F / &amp;A / &amp;D&amp;RSeite &amp;P von &amp;N</oddFooter>
  </headerFooter>
  <ignoredErrors>
    <ignoredError sqref="K22 AD57 H32" formula="1"/>
    <ignoredError sqref="M8:N8" unlockedFormula="1"/>
  </ignoredErrors>
  <legacyDrawing r:id="rId57"/>
  <oleObjects>
    <oleObject progId="Equation.3" shapeId="2467558" r:id="rId1"/>
    <oleObject progId="Equation.3" shapeId="2467559" r:id="rId2"/>
    <oleObject progId="Equation.3" shapeId="2467560" r:id="rId3"/>
    <oleObject progId="Equation.3" shapeId="2467561" r:id="rId4"/>
    <oleObject progId="Equation.3" shapeId="2467562" r:id="rId5"/>
    <oleObject progId="Equation.3" shapeId="2467563" r:id="rId6"/>
    <oleObject progId="Equation.3" shapeId="2467564" r:id="rId7"/>
    <oleObject progId="Equation.3" shapeId="2467565" r:id="rId8"/>
    <oleObject progId="Equation.3" shapeId="2467566" r:id="rId9"/>
    <oleObject progId="Equation.3" shapeId="2467567" r:id="rId10"/>
    <oleObject progId="Equation.3" shapeId="2467568" r:id="rId11"/>
    <oleObject progId="Equation.3" shapeId="2467569" r:id="rId12"/>
    <oleObject progId="Equation.3" shapeId="2467570" r:id="rId13"/>
    <oleObject progId="Equation.3" shapeId="2467571" r:id="rId14"/>
    <oleObject progId="Equation.3" shapeId="2467572" r:id="rId15"/>
    <oleObject progId="Equation.3" shapeId="2467573" r:id="rId16"/>
    <oleObject progId="Equation.3" shapeId="2467574" r:id="rId17"/>
    <oleObject progId="Equation.3" shapeId="2467575" r:id="rId18"/>
    <oleObject progId="Equation.3" shapeId="2467576" r:id="rId19"/>
    <oleObject progId="Equation.3" shapeId="2467577" r:id="rId20"/>
    <oleObject progId="Equation.3" shapeId="2467578" r:id="rId21"/>
    <oleObject progId="Equation.3" shapeId="2467579" r:id="rId22"/>
    <oleObject progId="Equation.3" shapeId="2467580" r:id="rId23"/>
    <oleObject progId="Equation.3" shapeId="2467581" r:id="rId24"/>
    <oleObject progId="Equation.3" shapeId="2467582" r:id="rId25"/>
    <oleObject progId="Equation.3" shapeId="2467583" r:id="rId26"/>
    <oleObject progId="Equation.3" shapeId="2467584" r:id="rId27"/>
    <oleObject progId="Equation.3" shapeId="2467585" r:id="rId28"/>
    <oleObject progId="Equation.3" shapeId="2467586" r:id="rId29"/>
    <oleObject progId="Equation.3" shapeId="2467587" r:id="rId30"/>
    <oleObject progId="Equation.3" shapeId="2467588" r:id="rId31"/>
    <oleObject progId="Equation.3" shapeId="2467589" r:id="rId32"/>
    <oleObject progId="Equation.3" shapeId="2467590" r:id="rId33"/>
    <oleObject progId="Equation.3" shapeId="2467591" r:id="rId34"/>
    <oleObject progId="Equation.3" shapeId="2467592" r:id="rId35"/>
    <oleObject progId="Equation.3" shapeId="2467593" r:id="rId36"/>
    <oleObject progId="Equation.3" shapeId="2467594" r:id="rId37"/>
    <oleObject progId="Equation.3" shapeId="2467595" r:id="rId38"/>
    <oleObject progId="Equation.3" shapeId="2467596" r:id="rId39"/>
    <oleObject progId="Equation.3" shapeId="2467597" r:id="rId40"/>
    <oleObject progId="Equation.3" shapeId="2467598" r:id="rId41"/>
    <oleObject progId="Equation.3" shapeId="2467599" r:id="rId42"/>
    <oleObject progId="Equation.3" shapeId="2467600" r:id="rId43"/>
    <oleObject progId="Equation.3" shapeId="2467601" r:id="rId44"/>
    <oleObject progId="Equation.3" shapeId="2467602" r:id="rId45"/>
    <oleObject progId="Equation.3" shapeId="2467603" r:id="rId46"/>
    <oleObject progId="Equation.3" shapeId="2467604" r:id="rId47"/>
    <oleObject progId="Equation.3" shapeId="2467605" r:id="rId48"/>
    <oleObject progId="Equation.3" shapeId="2467606" r:id="rId49"/>
    <oleObject progId="Equation.3" shapeId="2467607" r:id="rId50"/>
    <oleObject progId="Equation.3" shapeId="2467608" r:id="rId51"/>
    <oleObject progId="Equation.3" shapeId="2467609" r:id="rId52"/>
    <oleObject progId="Equation.3" shapeId="2467610" r:id="rId53"/>
    <oleObject progId="Equation.3" shapeId="2467611" r:id="rId54"/>
    <oleObject progId="Equation.3" shapeId="2467612" r:id="rId55"/>
    <oleObject progId="Equation.3" shapeId="2467613" r:id="rId56"/>
  </oleObjects>
</worksheet>
</file>

<file path=xl/worksheets/sheet6.xml><?xml version="1.0" encoding="utf-8"?>
<worksheet xmlns="http://schemas.openxmlformats.org/spreadsheetml/2006/main" xmlns:r="http://schemas.openxmlformats.org/officeDocument/2006/relationships">
  <sheetPr codeName="Tabelle19"/>
  <dimension ref="A1:R42"/>
  <sheetViews>
    <sheetView showGridLines="0" showRowColHeaders="0" zoomScale="90" zoomScaleNormal="90" workbookViewId="0" topLeftCell="A1">
      <selection activeCell="F30" sqref="F30"/>
    </sheetView>
  </sheetViews>
  <sheetFormatPr defaultColWidth="11.421875" defaultRowHeight="15" customHeight="1"/>
  <cols>
    <col min="1" max="1" width="2.7109375" style="148" customWidth="1"/>
    <col min="2" max="2" width="25.7109375" style="148" customWidth="1"/>
    <col min="3" max="3" width="8.7109375" style="148" customWidth="1"/>
    <col min="4" max="5" width="12.7109375" style="148" customWidth="1"/>
    <col min="6" max="6" width="11.7109375" style="148" customWidth="1"/>
    <col min="7" max="15" width="9.7109375" style="148" customWidth="1"/>
    <col min="16" max="16" width="2.7109375" style="148" customWidth="1"/>
    <col min="17" max="17" width="9.7109375" style="148" customWidth="1"/>
    <col min="18" max="21" width="10.7109375" style="148" customWidth="1"/>
    <col min="22" max="16384" width="11.421875" style="148" customWidth="1"/>
  </cols>
  <sheetData>
    <row r="1" spans="1:18" ht="13.5" customHeight="1">
      <c r="A1" s="147"/>
      <c r="B1" s="120" t="str">
        <f>1!B1</f>
        <v>Proje :</v>
      </c>
      <c r="C1" s="6" t="str">
        <f>IF(1!E4&lt;1.5,"",1!C1:H1)</f>
        <v>Takım tezgahı</v>
      </c>
      <c r="D1" s="149"/>
      <c r="E1" s="149"/>
      <c r="F1" s="149"/>
      <c r="G1" s="401" t="str">
        <f>Info!B11</f>
        <v>www.guven-kutay.ch</v>
      </c>
      <c r="H1" s="1"/>
      <c r="I1" s="1"/>
      <c r="J1" s="1"/>
      <c r="L1" s="81"/>
      <c r="M1" s="81"/>
      <c r="N1" s="433" t="str">
        <f>Info!N11</f>
        <v>Copyright : M. G. Kutay , Ver 10.02</v>
      </c>
      <c r="O1" s="122"/>
      <c r="P1" s="122"/>
      <c r="Q1" s="147"/>
      <c r="R1" s="147"/>
    </row>
    <row r="2" spans="1:18" ht="6.75" customHeight="1">
      <c r="A2" s="147"/>
      <c r="B2" s="734"/>
      <c r="C2" s="735"/>
      <c r="D2" s="736"/>
      <c r="E2" s="736"/>
      <c r="F2" s="736"/>
      <c r="G2" s="736"/>
      <c r="H2" s="736"/>
      <c r="I2" s="736"/>
      <c r="J2" s="736"/>
      <c r="K2" s="737"/>
      <c r="L2" s="81"/>
      <c r="M2" s="81"/>
      <c r="N2" s="81"/>
      <c r="O2" s="122"/>
      <c r="P2" s="122"/>
      <c r="Q2" s="147"/>
      <c r="R2" s="147"/>
    </row>
    <row r="3" spans="1:18" ht="13.5" customHeight="1">
      <c r="A3" s="147"/>
      <c r="B3" s="765" t="str">
        <f>0!X36</f>
        <v>4.  2. Kademenin geometrik ölçüleri </v>
      </c>
      <c r="C3" s="735"/>
      <c r="D3" s="736"/>
      <c r="E3" s="736"/>
      <c r="F3" s="736"/>
      <c r="G3" s="736"/>
      <c r="H3" s="736"/>
      <c r="I3" s="736"/>
      <c r="J3" s="736"/>
      <c r="K3" s="737"/>
      <c r="L3" s="81"/>
      <c r="M3" s="81"/>
      <c r="N3" s="81"/>
      <c r="O3" s="122"/>
      <c r="P3" s="122"/>
      <c r="Q3" s="147"/>
      <c r="R3" s="147"/>
    </row>
    <row r="4" spans="1:18" ht="6.75" customHeight="1">
      <c r="A4" s="147"/>
      <c r="B4" s="734"/>
      <c r="C4" s="735"/>
      <c r="D4" s="736"/>
      <c r="E4" s="736"/>
      <c r="F4" s="736"/>
      <c r="G4" s="736"/>
      <c r="H4" s="736"/>
      <c r="I4" s="736"/>
      <c r="J4" s="736"/>
      <c r="K4" s="737"/>
      <c r="L4" s="81"/>
      <c r="M4" s="81"/>
      <c r="N4" s="81"/>
      <c r="O4" s="122"/>
      <c r="P4" s="122"/>
      <c r="Q4" s="147"/>
      <c r="R4" s="147"/>
    </row>
    <row r="5" spans="1:18" ht="13.5" customHeight="1">
      <c r="A5" s="147"/>
      <c r="B5" s="466" t="str">
        <f>IF(1!E4&lt;1.5,"",1!B3)</f>
        <v>1. Temel değerler</v>
      </c>
      <c r="C5" s="462"/>
      <c r="D5" s="463" t="str">
        <f>IF(1!E4&lt;1.5,"",2!D5)</f>
        <v>Pinyon</v>
      </c>
      <c r="E5" s="464" t="str">
        <f>IF(1!E4&lt;1.5,"",2!E5)</f>
        <v>Çark</v>
      </c>
      <c r="F5" s="323"/>
      <c r="H5" s="323"/>
      <c r="I5" s="1"/>
      <c r="J5" s="1"/>
      <c r="K5" s="1"/>
      <c r="L5" s="1"/>
      <c r="M5" s="1"/>
      <c r="N5" s="1"/>
      <c r="O5" s="1"/>
      <c r="P5" s="1"/>
      <c r="Q5" s="1"/>
      <c r="R5" s="1"/>
    </row>
    <row r="6" spans="1:18" ht="13.5" customHeight="1">
      <c r="A6" s="147"/>
      <c r="B6" s="302" t="str">
        <f>IF(1!E4&lt;1.5,"",1!B11)</f>
        <v>Diş sayısı</v>
      </c>
      <c r="C6" s="303" t="s">
        <v>134</v>
      </c>
      <c r="D6" s="38">
        <f>IF(1!E4&lt;1.5,"",1!G11)</f>
        <v>18</v>
      </c>
      <c r="E6" s="39">
        <f>IF(1!E4&lt;1.5,"",1!G12)</f>
        <v>78</v>
      </c>
      <c r="G6" s="1"/>
      <c r="H6" s="1"/>
      <c r="I6" s="1"/>
      <c r="J6" s="1"/>
      <c r="K6" s="1"/>
      <c r="L6" s="1"/>
      <c r="M6" s="1"/>
      <c r="N6" s="1"/>
      <c r="O6" s="1"/>
      <c r="P6" s="1"/>
      <c r="Q6" s="1"/>
      <c r="R6" s="1"/>
    </row>
    <row r="7" spans="1:18" ht="13.5" customHeight="1">
      <c r="A7" s="147"/>
      <c r="B7" s="304" t="str">
        <f>IF(1!E4&lt;1.5,"",1!B13)</f>
        <v>Modül</v>
      </c>
      <c r="C7" s="305" t="s">
        <v>4</v>
      </c>
      <c r="D7" s="42">
        <f>IF(1!E4&lt;1.5,"",1!G13)</f>
        <v>5</v>
      </c>
      <c r="E7" s="43"/>
      <c r="G7" s="1"/>
      <c r="H7" s="1"/>
      <c r="I7" s="1"/>
      <c r="J7" s="1"/>
      <c r="K7" s="1"/>
      <c r="L7" s="1"/>
      <c r="M7" s="1"/>
      <c r="N7" s="1"/>
      <c r="O7" s="1"/>
      <c r="P7" s="1"/>
      <c r="Q7" s="1"/>
      <c r="R7" s="1"/>
    </row>
    <row r="8" spans="1:18" ht="13.5" customHeight="1">
      <c r="A8" s="147"/>
      <c r="B8" s="304" t="str">
        <f>IF(1!E4&lt;1.5,"",1!B14)</f>
        <v>Kavrama açısı</v>
      </c>
      <c r="C8" s="174" t="s">
        <v>62</v>
      </c>
      <c r="D8" s="876">
        <f>IF(1!E4&lt;1.5,"",1!F14)</f>
        <v>20</v>
      </c>
      <c r="E8" s="877"/>
      <c r="G8" s="1"/>
      <c r="H8" s="1"/>
      <c r="I8" s="1"/>
      <c r="J8" s="1"/>
      <c r="K8" s="1"/>
      <c r="L8" s="1"/>
      <c r="M8" s="1"/>
      <c r="N8" s="1"/>
      <c r="O8" s="1"/>
      <c r="P8" s="1"/>
      <c r="Q8" s="1"/>
      <c r="R8" s="1"/>
    </row>
    <row r="9" spans="1:18" ht="13.5" customHeight="1">
      <c r="A9" s="147"/>
      <c r="B9" s="304" t="str">
        <f>IF(1!E4&lt;1.5,"",1!B15)</f>
        <v>Diş genişliği</v>
      </c>
      <c r="C9" s="305" t="s">
        <v>135</v>
      </c>
      <c r="D9" s="45">
        <f>IF(1!E4&lt;1.5,"",1!G15)</f>
        <v>113</v>
      </c>
      <c r="E9" s="46">
        <f>IF(1!E4&lt;1.5,"",1!G16)</f>
        <v>105</v>
      </c>
      <c r="G9" s="1"/>
      <c r="H9" s="1"/>
      <c r="I9" s="1"/>
      <c r="J9" s="1"/>
      <c r="K9" s="1"/>
      <c r="L9" s="1"/>
      <c r="M9" s="1"/>
      <c r="N9" s="1"/>
      <c r="O9" s="1"/>
      <c r="P9" s="1"/>
      <c r="Q9" s="1"/>
      <c r="R9" s="1"/>
    </row>
    <row r="10" spans="1:18" ht="13.5" customHeight="1">
      <c r="A10" s="147"/>
      <c r="B10" s="304" t="str">
        <f>IF(1!E4&lt;1.5,"",1!B17)</f>
        <v>Helis açısı</v>
      </c>
      <c r="C10" s="305" t="s">
        <v>5</v>
      </c>
      <c r="D10" s="47">
        <f>IF(1!E4&lt;1.5,"",1!G17)</f>
        <v>14.4775</v>
      </c>
      <c r="E10" s="48"/>
      <c r="G10" s="1"/>
      <c r="H10" s="1"/>
      <c r="I10" s="1"/>
      <c r="J10" s="1"/>
      <c r="K10" s="1"/>
      <c r="L10" s="1"/>
      <c r="M10" s="1"/>
      <c r="N10" s="1"/>
      <c r="O10" s="1"/>
      <c r="P10" s="1"/>
      <c r="Q10" s="1"/>
      <c r="R10" s="1"/>
    </row>
    <row r="11" spans="1:18" ht="13.5" customHeight="1">
      <c r="A11" s="147"/>
      <c r="B11" s="304" t="str">
        <f>IF(1!E4&lt;1.5,"",1!B18)</f>
        <v>Helis yönü</v>
      </c>
      <c r="C11" s="306" t="s">
        <v>6</v>
      </c>
      <c r="D11" s="50" t="str">
        <f>IF(1!E4&lt;1.5,"",1!G18)</f>
        <v>sol</v>
      </c>
      <c r="E11" s="51" t="str">
        <f>IF(1!E4&lt;1.5,"",1!G19)</f>
        <v>sağ</v>
      </c>
      <c r="G11" s="1"/>
      <c r="H11" s="1"/>
      <c r="I11" s="1"/>
      <c r="J11" s="1"/>
      <c r="K11" s="1"/>
      <c r="L11" s="1"/>
      <c r="M11" s="1"/>
      <c r="N11" s="1"/>
      <c r="O11" s="1"/>
      <c r="P11" s="1"/>
      <c r="Q11" s="1"/>
      <c r="R11" s="1"/>
    </row>
    <row r="12" spans="1:18" ht="13.5" customHeight="1">
      <c r="A12" s="147"/>
      <c r="B12" s="307" t="str">
        <f>IF(1!E4&lt;1.5,"",1!B20)</f>
        <v>Eksenler arası mesafe</v>
      </c>
      <c r="C12" s="305" t="s">
        <v>7</v>
      </c>
      <c r="D12" s="45">
        <f>IF(1!E4&lt;1.5,"",1!G20)</f>
        <v>250</v>
      </c>
      <c r="E12" s="44"/>
      <c r="G12" s="1"/>
      <c r="H12" s="1"/>
      <c r="I12" s="1"/>
      <c r="J12" s="1"/>
      <c r="K12" s="1"/>
      <c r="L12" s="1"/>
      <c r="M12" s="1"/>
      <c r="N12" s="1"/>
      <c r="O12" s="1"/>
      <c r="P12" s="1"/>
      <c r="Q12" s="1"/>
      <c r="R12" s="1"/>
    </row>
    <row r="13" spans="1:18" ht="13.5" customHeight="1">
      <c r="A13" s="147"/>
      <c r="B13" s="308" t="str">
        <f>IF(1!E4&lt;1.5,"",2!B13)</f>
        <v>Eksenler arası toleransı</v>
      </c>
      <c r="C13" s="315" t="s">
        <v>132</v>
      </c>
      <c r="D13" s="53">
        <f>IF(1!E4&lt;1.5,"",9!H21)</f>
        <v>0.0145</v>
      </c>
      <c r="E13" s="44"/>
      <c r="G13" s="1"/>
      <c r="H13" s="1"/>
      <c r="I13" s="1"/>
      <c r="J13" s="1"/>
      <c r="K13" s="1"/>
      <c r="L13" s="1"/>
      <c r="M13" s="1"/>
      <c r="N13" s="1"/>
      <c r="O13" s="1"/>
      <c r="P13" s="1"/>
      <c r="Q13" s="1"/>
      <c r="R13" s="1"/>
    </row>
    <row r="14" spans="1:18" ht="13.5" customHeight="1">
      <c r="A14" s="147"/>
      <c r="B14" s="309" t="str">
        <f>IF(1!E4&lt;1.5,"",1!K22)</f>
        <v>Dişli kalitesi</v>
      </c>
      <c r="C14" s="310"/>
      <c r="D14" s="55" t="str">
        <f>IF(1!E4&lt;1.5,"","DIN")</f>
        <v>DIN</v>
      </c>
      <c r="E14" s="56">
        <f>IF(1!E4&lt;1.5,"",1!O22)</f>
        <v>8</v>
      </c>
      <c r="G14" s="1"/>
      <c r="H14" s="1"/>
      <c r="I14" s="1"/>
      <c r="J14" s="1"/>
      <c r="K14" s="1"/>
      <c r="L14" s="1"/>
      <c r="M14" s="1"/>
      <c r="N14" s="1"/>
      <c r="O14" s="1"/>
      <c r="P14" s="1"/>
      <c r="Q14" s="1"/>
      <c r="R14" s="1"/>
    </row>
    <row r="15" spans="1:18" ht="13.5" customHeight="1">
      <c r="A15" s="147"/>
      <c r="B15" s="15" t="str">
        <f>IF(1!E4&lt;1.5,"",1!B22)</f>
        <v>Dişli yanak kalitesi</v>
      </c>
      <c r="C15" s="306" t="s">
        <v>69</v>
      </c>
      <c r="D15" s="57">
        <f>IF(1!E4&lt;1.5,"",1!G22)</f>
        <v>6.3</v>
      </c>
      <c r="E15" s="58">
        <f>IF(1!E4&lt;1.5,"",1!G23)</f>
        <v>6.3</v>
      </c>
      <c r="G15" s="1"/>
      <c r="H15" s="1"/>
      <c r="I15" s="1"/>
      <c r="J15" s="1"/>
      <c r="K15" s="1"/>
      <c r="L15" s="1"/>
      <c r="M15" s="1"/>
      <c r="N15" s="1"/>
      <c r="O15" s="1"/>
      <c r="P15" s="1"/>
      <c r="Q15" s="1"/>
      <c r="R15" s="1"/>
    </row>
    <row r="16" spans="1:18" ht="13.5" customHeight="1">
      <c r="A16" s="147"/>
      <c r="B16" s="311" t="str">
        <f>IF(1!E4&lt;1.5,"",1!B24)</f>
        <v>Yükleme sayısı</v>
      </c>
      <c r="C16" s="312" t="s">
        <v>59</v>
      </c>
      <c r="D16" s="61">
        <f>IF(1!E4&lt;1.5,"",1!F24)</f>
        <v>3000000</v>
      </c>
      <c r="E16" s="62"/>
      <c r="G16" s="1"/>
      <c r="H16" s="1"/>
      <c r="I16" s="1"/>
      <c r="J16" s="1"/>
      <c r="K16" s="1"/>
      <c r="L16" s="1"/>
      <c r="M16" s="1"/>
      <c r="N16" s="1"/>
      <c r="O16" s="1"/>
      <c r="P16" s="1"/>
      <c r="Q16" s="1"/>
      <c r="R16" s="1"/>
    </row>
    <row r="17" spans="1:18" ht="13.5" customHeight="1">
      <c r="A17" s="147"/>
      <c r="B17" s="465" t="str">
        <f>IF(1!E4&lt;1.5,"",2!B17)</f>
        <v>Geometri</v>
      </c>
      <c r="C17" s="5"/>
      <c r="D17" s="1"/>
      <c r="E17" s="1"/>
      <c r="G17" s="1"/>
      <c r="H17" s="1"/>
      <c r="I17" s="1"/>
      <c r="J17" s="1"/>
      <c r="K17" s="1"/>
      <c r="L17" s="1"/>
      <c r="M17" s="1"/>
      <c r="N17" s="1"/>
      <c r="O17" s="1"/>
      <c r="P17" s="1"/>
      <c r="Q17" s="1"/>
      <c r="R17" s="1"/>
    </row>
    <row r="18" spans="1:18" ht="13.5" customHeight="1">
      <c r="A18" s="147"/>
      <c r="B18" s="318" t="str">
        <f>IF(1!$E$4&lt;1.5,"",2!B18)</f>
        <v>Alın modülü</v>
      </c>
      <c r="C18" s="313" t="s">
        <v>136</v>
      </c>
      <c r="D18" s="325">
        <f>IF(1!E4&lt;1.5,"",D7/COS(PI()*D10/180))</f>
        <v>5.163977511363889</v>
      </c>
      <c r="E18" s="63"/>
      <c r="F18" s="248"/>
      <c r="G18" s="1"/>
      <c r="H18" s="1"/>
      <c r="I18" s="1"/>
      <c r="J18" s="1"/>
      <c r="K18" s="1"/>
      <c r="L18" s="1"/>
      <c r="M18" s="1"/>
      <c r="N18" s="1"/>
      <c r="O18" s="1"/>
      <c r="P18" s="1"/>
      <c r="Q18" s="1"/>
      <c r="R18" s="1"/>
    </row>
    <row r="19" spans="1:18" ht="13.5" customHeight="1">
      <c r="A19" s="147"/>
      <c r="B19" s="319" t="str">
        <f>IF(1!$E$4&lt;1.5,"",2!B19)</f>
        <v>Alın kavrama açısı</v>
      </c>
      <c r="C19" s="274" t="s">
        <v>129</v>
      </c>
      <c r="D19" s="64">
        <f>IF(1!E4&lt;1.5,"",ATAN(TAN(PI()*D8/180)/COS(PI()*D10/180))*180/PI())</f>
        <v>20.60158298578821</v>
      </c>
      <c r="E19" s="65"/>
      <c r="F19" s="248"/>
      <c r="G19" s="1"/>
      <c r="H19" s="1"/>
      <c r="I19" s="1"/>
      <c r="J19" s="1"/>
      <c r="K19" s="1"/>
      <c r="L19" s="1"/>
      <c r="M19" s="1"/>
      <c r="N19" s="1"/>
      <c r="O19" s="1"/>
      <c r="P19" s="1"/>
      <c r="Q19" s="1"/>
      <c r="R19" s="1"/>
    </row>
    <row r="20" spans="1:18" ht="13.5" customHeight="1">
      <c r="A20" s="147"/>
      <c r="B20" s="319" t="str">
        <f>IF(1!$E$4&lt;1.5,"",2!B20)</f>
        <v>Kaydırmasız eksenler arası</v>
      </c>
      <c r="C20" s="275" t="s">
        <v>137</v>
      </c>
      <c r="D20" s="71">
        <f>IF(1!E4&lt;1.5,"",D18*(D6+E6)/2)</f>
        <v>247.87092054546667</v>
      </c>
      <c r="E20" s="65"/>
      <c r="F20" s="248"/>
      <c r="G20" s="1"/>
      <c r="H20" s="1"/>
      <c r="I20" s="1"/>
      <c r="J20" s="1"/>
      <c r="K20" s="1"/>
      <c r="L20" s="1"/>
      <c r="M20" s="1"/>
      <c r="N20" s="1"/>
      <c r="O20" s="1"/>
      <c r="P20" s="1"/>
      <c r="Q20" s="1"/>
      <c r="R20" s="1"/>
    </row>
    <row r="21" spans="1:18" ht="13.5" customHeight="1">
      <c r="A21" s="147"/>
      <c r="B21" s="319" t="str">
        <f>IF(1!$E$4&lt;1.5,"",2!B21)</f>
        <v>İşletmede kavrama açısı</v>
      </c>
      <c r="C21" s="274" t="s">
        <v>127</v>
      </c>
      <c r="D21" s="64">
        <f>IF(1!E4&lt;1.5,"",ACOS(D20*COS(PI()*D19/180)/D12)*180/PI())</f>
        <v>21.86281668149476</v>
      </c>
      <c r="E21" s="65"/>
      <c r="F21" s="248"/>
      <c r="G21" s="1"/>
      <c r="H21" s="1"/>
      <c r="I21" s="1"/>
      <c r="J21" s="1"/>
      <c r="K21" s="1"/>
      <c r="L21" s="1"/>
      <c r="M21" s="1"/>
      <c r="N21" s="1"/>
      <c r="O21" s="1"/>
      <c r="P21" s="1"/>
      <c r="Q21" s="1"/>
      <c r="R21" s="1"/>
    </row>
    <row r="22" spans="1:18" ht="13.5" customHeight="1">
      <c r="A22" s="147"/>
      <c r="B22" s="319" t="str">
        <f>IF(1!$E$4&lt;1.5,"",2!B22)</f>
        <v>Evolvent fonksiyonu</v>
      </c>
      <c r="C22" s="314" t="s">
        <v>126</v>
      </c>
      <c r="D22" s="67">
        <f>IF(1!E4&lt;1.5,"",TAN(PI()*D19/180)-D19*PI()/180)</f>
        <v>0.016341366686454695</v>
      </c>
      <c r="E22" s="68"/>
      <c r="F22" s="248"/>
      <c r="G22" s="1"/>
      <c r="H22" s="1"/>
      <c r="I22" s="1"/>
      <c r="J22" s="1"/>
      <c r="K22" s="1"/>
      <c r="L22" s="1"/>
      <c r="M22" s="1"/>
      <c r="N22" s="1"/>
      <c r="O22" s="1"/>
      <c r="P22" s="1"/>
      <c r="Q22" s="1"/>
      <c r="R22" s="1"/>
    </row>
    <row r="23" spans="1:18" ht="13.5" customHeight="1">
      <c r="A23" s="147"/>
      <c r="B23" s="319" t="str">
        <f>IF(1!$E$4&lt;1.5,"",2!B23)</f>
        <v>Evolvent fonksiyonu</v>
      </c>
      <c r="C23" s="275" t="s">
        <v>125</v>
      </c>
      <c r="D23" s="67">
        <f>IF(1!E4&lt;1.5,"",TAN(PI()*D21/180)-D21*PI()/180)</f>
        <v>0.01966563781139785</v>
      </c>
      <c r="E23" s="68"/>
      <c r="F23" s="248"/>
      <c r="G23" s="1"/>
      <c r="H23" s="1"/>
      <c r="I23" s="1"/>
      <c r="J23" s="1"/>
      <c r="K23" s="1"/>
      <c r="L23" s="1"/>
      <c r="M23" s="1"/>
      <c r="N23" s="1"/>
      <c r="O23" s="1"/>
      <c r="P23" s="1"/>
      <c r="Q23" s="1"/>
      <c r="R23" s="1"/>
    </row>
    <row r="24" spans="1:18" ht="13.5" customHeight="1">
      <c r="A24" s="147"/>
      <c r="B24" s="319" t="str">
        <f>IF(1!$E$4&lt;1.5,"",2!B24)</f>
        <v>Toplam profil kaydırması</v>
      </c>
      <c r="C24" s="314" t="s">
        <v>138</v>
      </c>
      <c r="D24" s="67">
        <f>IF(1!E4&lt;1.5,"",(D6+E6)*(D23-D22)/(2*TAN(PI()*D8/180)))</f>
        <v>0.4384012728924643</v>
      </c>
      <c r="E24" s="68"/>
      <c r="F24" s="248"/>
      <c r="G24" s="1"/>
      <c r="H24" s="1"/>
      <c r="I24" s="1"/>
      <c r="J24" s="1"/>
      <c r="K24" s="1"/>
      <c r="L24" s="1"/>
      <c r="M24" s="1"/>
      <c r="N24" s="1"/>
      <c r="O24" s="1"/>
      <c r="P24" s="1"/>
      <c r="Q24" s="1"/>
      <c r="R24" s="1"/>
    </row>
    <row r="25" spans="1:18" ht="13.5" customHeight="1">
      <c r="A25" s="147"/>
      <c r="B25" s="319" t="str">
        <f>IF(1!$E$4&lt;1.5,"",2!B25)</f>
        <v>Dış çap düzeltmesi</v>
      </c>
      <c r="C25" s="275" t="s">
        <v>123</v>
      </c>
      <c r="D25" s="66">
        <f>IF(1!E4&lt;1.5,"",D20+D24*D7-D12)</f>
        <v>0.06292690992898997</v>
      </c>
      <c r="E25" s="68"/>
      <c r="F25" s="248"/>
      <c r="G25" s="1"/>
      <c r="H25" s="1"/>
      <c r="I25" s="1"/>
      <c r="J25" s="1"/>
      <c r="K25" s="1"/>
      <c r="L25" s="1"/>
      <c r="M25" s="1"/>
      <c r="N25" s="1"/>
      <c r="O25" s="1"/>
      <c r="P25" s="1"/>
      <c r="Q25" s="1"/>
      <c r="R25" s="1"/>
    </row>
    <row r="26" spans="1:18" ht="13.5" customHeight="1">
      <c r="A26" s="147"/>
      <c r="B26" s="319" t="str">
        <f>IF(1!$E$4&lt;1.5,"",2!B26)</f>
        <v>Temel helis açısı</v>
      </c>
      <c r="C26" s="274" t="s">
        <v>139</v>
      </c>
      <c r="D26" s="64">
        <f>IF(1!E4&lt;1.5,"",180*ASIN(SIN(PI()*D10/180)*COS(PI()*D8/180))/PI())</f>
        <v>13.587081674083063</v>
      </c>
      <c r="E26" s="68"/>
      <c r="F26" s="248"/>
      <c r="G26" s="1"/>
      <c r="H26" s="1"/>
      <c r="I26" s="1"/>
      <c r="J26" s="1"/>
      <c r="K26" s="1"/>
      <c r="L26" s="1"/>
      <c r="M26" s="1"/>
      <c r="N26" s="1"/>
      <c r="O26" s="1"/>
      <c r="P26" s="1"/>
      <c r="Q26" s="1"/>
      <c r="R26" s="1"/>
    </row>
    <row r="27" spans="1:18" ht="13.5" customHeight="1">
      <c r="A27" s="147"/>
      <c r="B27" s="319" t="str">
        <f>IF(1!$E$4&lt;1.5,"",2!B27)</f>
        <v>Eşdeğer diş sayısı</v>
      </c>
      <c r="C27" s="314" t="s">
        <v>140</v>
      </c>
      <c r="D27" s="69">
        <f>IF(1!E4&lt;1.5,"",D6/(COS(PI()*D26/180))^2/COS(PI()*D10/180))</f>
        <v>19.67622631920012</v>
      </c>
      <c r="E27" s="70">
        <f>IF(1!E4&lt;1.5,"",E6/(COS(PI()*D26/180))^2/COS(PI()*D10/180))</f>
        <v>85.26364738320052</v>
      </c>
      <c r="F27" s="248"/>
      <c r="G27" s="1"/>
      <c r="H27" s="1"/>
      <c r="I27" s="1"/>
      <c r="J27" s="1"/>
      <c r="K27" s="1"/>
      <c r="L27" s="1"/>
      <c r="M27" s="1"/>
      <c r="N27" s="1"/>
      <c r="O27" s="1"/>
      <c r="P27" s="1"/>
      <c r="Q27" s="1"/>
      <c r="R27" s="1"/>
    </row>
    <row r="28" spans="1:18" ht="13.5" customHeight="1">
      <c r="A28" s="147"/>
      <c r="B28" s="319" t="str">
        <f>IF(1!$E$4&lt;1.5,"",2!B28)</f>
        <v>Profil kaydırması, teklif</v>
      </c>
      <c r="C28" s="315"/>
      <c r="D28" s="69">
        <f>IF(1!E4&lt;1.5,"",IF(($D$24/2+(0.5-$D$24/2)*LOG10($E$6/$D$6)/(LOG10($D$27*$E$27/100)))*10-INT(($D$24/2+(0.5-$D$24/2)*LOG10($E$6/$D$6)/(LOG10($D$27*$E$27/100)))*10)&gt;0.5,FLOOR(($D$24/2+(0.5-$D$24/2)*LOG10($E$6/$D$6)/(LOG10($D$27*$E$27/100))),0.05),ROUNDDOWN(($D$24/2+(0.5-$D$24/2)*LOG10($E$6/$D$6)/(LOG10($D$27*$E$27/100))),1)))</f>
        <v>0.35000000000000003</v>
      </c>
      <c r="E28" s="70">
        <f>IF(1!E4&lt;1.5,"",D24-D28)</f>
        <v>0.08840127289246424</v>
      </c>
      <c r="F28" s="248"/>
      <c r="G28" s="1"/>
      <c r="H28" s="1"/>
      <c r="I28" s="1"/>
      <c r="J28" s="1"/>
      <c r="K28" s="1"/>
      <c r="L28" s="1"/>
      <c r="M28" s="1"/>
      <c r="N28" s="1"/>
      <c r="O28" s="1"/>
      <c r="P28" s="1"/>
      <c r="Q28" s="1"/>
      <c r="R28" s="1"/>
    </row>
    <row r="29" spans="1:18" ht="13.5" customHeight="1">
      <c r="A29" s="147"/>
      <c r="B29" s="319" t="str">
        <f>IF(1!$E$4&lt;1.5,"",2!B29)</f>
        <v>Seçilen profil kaydırması</v>
      </c>
      <c r="C29" s="314" t="s">
        <v>141</v>
      </c>
      <c r="D29" s="121">
        <v>0.25</v>
      </c>
      <c r="E29" s="151">
        <f>IF(1!E4&lt;1.5,"",D24-D29)</f>
        <v>0.18840127289246428</v>
      </c>
      <c r="F29" s="248"/>
      <c r="G29" s="1"/>
      <c r="H29" s="1"/>
      <c r="I29" s="1"/>
      <c r="J29" s="1"/>
      <c r="K29" s="1"/>
      <c r="L29" s="1"/>
      <c r="M29" s="1"/>
      <c r="N29" s="1"/>
      <c r="O29" s="1"/>
      <c r="P29" s="1"/>
      <c r="Q29" s="1"/>
      <c r="R29" s="1"/>
    </row>
    <row r="30" spans="1:18" ht="13.5" customHeight="1">
      <c r="A30" s="147"/>
      <c r="B30" s="319" t="str">
        <f>IF(1!$E$4&lt;1.5,"",2!B30)</f>
        <v>Taksimat dairesi</v>
      </c>
      <c r="C30" s="275" t="s">
        <v>142</v>
      </c>
      <c r="D30" s="71">
        <f>IF(1!E4&lt;1.5,"",D6*D18)</f>
        <v>92.95159520455</v>
      </c>
      <c r="E30" s="72">
        <f>IF(1!E4&lt;1.5,"",E6*D18)</f>
        <v>402.79024588638333</v>
      </c>
      <c r="F30" s="248"/>
      <c r="G30" s="1"/>
      <c r="H30" s="1"/>
      <c r="I30" s="1"/>
      <c r="J30" s="1"/>
      <c r="K30" s="1"/>
      <c r="L30" s="1"/>
      <c r="M30" s="1"/>
      <c r="N30" s="1"/>
      <c r="O30" s="1"/>
      <c r="P30" s="1"/>
      <c r="Q30" s="1"/>
      <c r="R30" s="1"/>
    </row>
    <row r="31" spans="1:18" ht="13.5" customHeight="1">
      <c r="A31" s="147"/>
      <c r="B31" s="319" t="str">
        <f>IF(1!$E$4&lt;1.5,"",2!B31)</f>
        <v>Diş üstü çapı</v>
      </c>
      <c r="C31" s="275" t="s">
        <v>143</v>
      </c>
      <c r="D31" s="71">
        <f>IF(1!E4&lt;1.5,"",IF(D29&gt;0,D30+2*D7*(1+D29)-2*D25,D30+2*D7*(1+D29)+2*D25))</f>
        <v>105.32574138469202</v>
      </c>
      <c r="E31" s="72">
        <f>IF(1!E4&lt;1.5,"",IF(E29&gt;0,E30+2*D7*(1+E29)-2*D25,E30+2*D7*(1+E29)+2*D25))</f>
        <v>414.54840479545</v>
      </c>
      <c r="F31" s="1"/>
      <c r="G31" s="1"/>
      <c r="H31" s="1"/>
      <c r="I31" s="1"/>
      <c r="J31" s="1"/>
      <c r="K31" s="1"/>
      <c r="L31" s="1"/>
      <c r="M31" s="1"/>
      <c r="N31" s="1"/>
      <c r="O31" s="1"/>
      <c r="P31" s="1"/>
      <c r="Q31" s="1"/>
      <c r="R31" s="1"/>
    </row>
    <row r="32" spans="1:18" ht="13.5" customHeight="1">
      <c r="A32" s="147"/>
      <c r="B32" s="319" t="str">
        <f>IF(1!$E$4&lt;1.5,"",2!B32)</f>
        <v>Ölçülecek diş sayısı</v>
      </c>
      <c r="C32" s="314" t="s">
        <v>144</v>
      </c>
      <c r="D32" s="73">
        <f>IF(1!E4&lt;1.5,"",ROUND(D27*D8/180+1,0))</f>
        <v>3</v>
      </c>
      <c r="E32" s="74">
        <f>IF(1!E4&lt;1.5,"",ROUND(E27*D8/180+1,0))</f>
        <v>10</v>
      </c>
      <c r="F32" s="248"/>
      <c r="G32" s="1"/>
      <c r="H32" s="1"/>
      <c r="I32" s="1"/>
      <c r="J32" s="1"/>
      <c r="K32" s="1"/>
      <c r="L32" s="1"/>
      <c r="M32" s="1"/>
      <c r="N32" s="1"/>
      <c r="O32" s="1"/>
      <c r="P32" s="1"/>
      <c r="Q32" s="1"/>
      <c r="R32" s="1"/>
    </row>
    <row r="33" spans="1:18" ht="13.5" customHeight="1">
      <c r="A33" s="147"/>
      <c r="B33" s="304" t="str">
        <f>IF(1!$E$4&lt;1.5,"",2!B33)</f>
        <v>Kontrol ölçü değeri</v>
      </c>
      <c r="C33" s="305" t="s">
        <v>145</v>
      </c>
      <c r="D33" s="71">
        <f>IF(1!E4&lt;1.5,"",D7*COS(PI()*D8/180)*((D32-0.5)*PI()+D6*D22)+2*D29*D7*SIN(PI()*D8/180))</f>
        <v>39.13872083647718</v>
      </c>
      <c r="E33" s="72">
        <f>IF(1!E4&lt;1.5,"",D7*COS(PI()*D8/180)*((E32-0.5)*PI()+E6*D22)+2*E29*D7*SIN(PI()*D8/180))</f>
        <v>146.85939948165688</v>
      </c>
      <c r="F33" s="248"/>
      <c r="G33" s="1"/>
      <c r="H33" s="1"/>
      <c r="I33" s="1"/>
      <c r="J33" s="1"/>
      <c r="K33" s="1"/>
      <c r="L33" s="1"/>
      <c r="M33" s="1"/>
      <c r="N33" s="1"/>
      <c r="O33" s="1"/>
      <c r="P33" s="1"/>
      <c r="Q33" s="1"/>
      <c r="R33" s="1"/>
    </row>
    <row r="34" spans="1:18" ht="13.5" customHeight="1">
      <c r="A34" s="147"/>
      <c r="B34" s="316" t="str">
        <f>IF(1!$E$4&lt;1.5,"",2!B34)</f>
        <v>Toleransları</v>
      </c>
      <c r="C34" s="314" t="s">
        <v>111</v>
      </c>
      <c r="D34" s="75">
        <f>IF(1!E4&lt;1.5,"",9!H25)</f>
        <v>-0.01785415979493226</v>
      </c>
      <c r="E34" s="76">
        <f>IF(1!E4&lt;1.5,"",9!I25)</f>
        <v>-0.03288924172750679</v>
      </c>
      <c r="F34" s="248"/>
      <c r="G34" s="1"/>
      <c r="H34" s="1"/>
      <c r="I34" s="1"/>
      <c r="J34" s="1"/>
      <c r="K34" s="1"/>
      <c r="L34" s="1"/>
      <c r="M34" s="1"/>
      <c r="N34" s="1"/>
      <c r="O34" s="1"/>
      <c r="P34" s="1"/>
      <c r="Q34" s="1"/>
      <c r="R34" s="1"/>
    </row>
    <row r="35" spans="1:18" ht="13.5" customHeight="1">
      <c r="A35" s="147"/>
      <c r="B35" s="320"/>
      <c r="C35" s="314" t="s">
        <v>112</v>
      </c>
      <c r="D35" s="75">
        <f>IF(1!E4&lt;1.5,"",9!H26)</f>
        <v>-0.04134647531457997</v>
      </c>
      <c r="E35" s="76">
        <f>IF(1!E4&lt;1.5,"",9!I26)</f>
        <v>-0.07047694655894313</v>
      </c>
      <c r="F35" s="248"/>
      <c r="G35" s="1"/>
      <c r="H35" s="1"/>
      <c r="I35" s="1"/>
      <c r="J35" s="1"/>
      <c r="K35" s="1"/>
      <c r="L35" s="1"/>
      <c r="M35" s="1"/>
      <c r="N35" s="1"/>
      <c r="O35" s="1"/>
      <c r="P35" s="1"/>
      <c r="Q35" s="1"/>
      <c r="R35" s="1"/>
    </row>
    <row r="36" spans="1:18" ht="13.5" customHeight="1">
      <c r="A36" s="147"/>
      <c r="B36" s="319" t="str">
        <f>IF(1!$E$4&lt;1.5,"",2!B36)</f>
        <v>Üst ölçü değeri</v>
      </c>
      <c r="C36" s="314" t="s">
        <v>113</v>
      </c>
      <c r="D36" s="71">
        <f>IF(1!E4&lt;1.5,"",D33+D34)</f>
        <v>39.12086667668225</v>
      </c>
      <c r="E36" s="72">
        <f>IF(1!E4&lt;1.5,"",E33+E34)</f>
        <v>146.82651023992938</v>
      </c>
      <c r="F36" s="248"/>
      <c r="G36" s="1"/>
      <c r="H36" s="1"/>
      <c r="I36" s="1"/>
      <c r="J36" s="1"/>
      <c r="K36" s="1"/>
      <c r="L36" s="1"/>
      <c r="M36" s="1"/>
      <c r="N36" s="1"/>
      <c r="O36" s="1"/>
      <c r="P36" s="1"/>
      <c r="Q36" s="1"/>
      <c r="R36" s="1"/>
    </row>
    <row r="37" spans="1:18" ht="13.5" customHeight="1">
      <c r="A37" s="147"/>
      <c r="B37" s="319" t="str">
        <f>IF(1!$E$4&lt;1.5,"",2!B37)</f>
        <v>Alt ölçü değeri</v>
      </c>
      <c r="C37" s="314" t="s">
        <v>114</v>
      </c>
      <c r="D37" s="71">
        <f>IF(1!E4&lt;1.5,"",D33+D35)</f>
        <v>39.09737436116259</v>
      </c>
      <c r="E37" s="72">
        <f>IF(1!E4&lt;1.5,"",E33+E35)</f>
        <v>146.78892253509792</v>
      </c>
      <c r="F37" s="248"/>
      <c r="G37" s="1"/>
      <c r="H37" s="1"/>
      <c r="I37" s="1"/>
      <c r="J37" s="1"/>
      <c r="K37" s="1"/>
      <c r="L37" s="1"/>
      <c r="M37" s="1"/>
      <c r="N37" s="1"/>
      <c r="O37" s="1"/>
      <c r="P37" s="1"/>
      <c r="Q37" s="1"/>
      <c r="R37" s="1"/>
    </row>
    <row r="38" spans="1:18" ht="13.5" customHeight="1">
      <c r="A38" s="147"/>
      <c r="B38" s="319" t="str">
        <f>IF(1!$E$4&lt;1.5,"",2!B38)</f>
        <v>Temel daire çapı</v>
      </c>
      <c r="C38" s="275" t="s">
        <v>146</v>
      </c>
      <c r="D38" s="71">
        <f>IF(1!E4&lt;1.5,"",D30*COS(PI()*D19/180))</f>
        <v>87.00732345707958</v>
      </c>
      <c r="E38" s="72">
        <f>IF(1!E4&lt;1.5,"",E30*COS(PI()*D19/180))</f>
        <v>377.03173498067815</v>
      </c>
      <c r="F38" s="248"/>
      <c r="G38" s="1"/>
      <c r="H38" s="1"/>
      <c r="I38" s="1"/>
      <c r="J38" s="1"/>
      <c r="K38" s="1"/>
      <c r="L38" s="1"/>
      <c r="M38" s="1"/>
      <c r="N38" s="1"/>
      <c r="O38" s="1"/>
      <c r="P38" s="1"/>
      <c r="Q38" s="1"/>
      <c r="R38" s="1"/>
    </row>
    <row r="39" spans="1:18" ht="13.5" customHeight="1">
      <c r="A39" s="147"/>
      <c r="B39" s="304" t="str">
        <f>IF(1!$E$4&lt;1.5,"",2!B39)</f>
        <v>Profil kavrama oranı</v>
      </c>
      <c r="C39" s="271" t="s">
        <v>110</v>
      </c>
      <c r="D39" s="69">
        <f>IF(1!E4&lt;1.5,"",((0.5*((D31^2-D38^2)^(0.5)+(E31^2-E38^2)^(0.5))-D12*SIN(PI()*D21/180))/(PI()*D18*COS(PI()*D19/180))))</f>
        <v>1.497913750194892</v>
      </c>
      <c r="E39" s="68"/>
      <c r="G39" s="359" t="str">
        <f>0!C50</f>
        <v>Düşünceler :</v>
      </c>
      <c r="H39" s="738"/>
      <c r="I39" s="738"/>
      <c r="J39" s="738"/>
      <c r="K39" s="738"/>
      <c r="L39" s="738"/>
      <c r="M39" s="738"/>
      <c r="N39" s="738"/>
      <c r="O39" s="738"/>
      <c r="P39" s="1"/>
      <c r="Q39" s="1"/>
      <c r="R39" s="1"/>
    </row>
    <row r="40" spans="1:18" ht="13.5" customHeight="1">
      <c r="A40" s="147"/>
      <c r="B40" s="320"/>
      <c r="C40" s="271" t="s">
        <v>555</v>
      </c>
      <c r="D40" s="69">
        <f>IF(1!E4&lt;1.5,"",D39/(COS(D26*PI()/180))^2)</f>
        <v>1.5854106586668761</v>
      </c>
      <c r="E40" s="68"/>
      <c r="F40" s="359"/>
      <c r="H40" s="738"/>
      <c r="I40" s="738"/>
      <c r="J40" s="738"/>
      <c r="K40" s="738"/>
      <c r="L40" s="738"/>
      <c r="M40" s="738"/>
      <c r="N40" s="738"/>
      <c r="O40" s="738"/>
      <c r="P40" s="1"/>
      <c r="Q40" s="1"/>
      <c r="R40" s="1"/>
    </row>
    <row r="41" spans="1:18" ht="13.5" customHeight="1">
      <c r="A41" s="147"/>
      <c r="B41" s="321" t="str">
        <f>IF(1!$E$4&lt;1.5,"",2!B41)</f>
        <v>Helis kavrama oranı</v>
      </c>
      <c r="C41" s="272" t="s">
        <v>116</v>
      </c>
      <c r="D41" s="79">
        <f>IF(1!E4&lt;1.5,"",E9*SIN(PI()*D10/180)/PI()/D7)</f>
        <v>1.6711255259176732</v>
      </c>
      <c r="E41" s="80"/>
      <c r="F41" s="248"/>
      <c r="H41" s="738"/>
      <c r="I41" s="738"/>
      <c r="J41" s="738"/>
      <c r="K41" s="738"/>
      <c r="L41" s="738"/>
      <c r="M41" s="738"/>
      <c r="N41" s="738"/>
      <c r="O41" s="738"/>
      <c r="P41" s="1"/>
      <c r="Q41" s="1"/>
      <c r="R41" s="1"/>
    </row>
    <row r="42" spans="1:18" ht="13.5" customHeight="1">
      <c r="A42" s="147"/>
      <c r="B42" s="1"/>
      <c r="C42" s="1"/>
      <c r="D42" s="1"/>
      <c r="E42" s="1"/>
      <c r="F42" s="1"/>
      <c r="G42" s="1"/>
      <c r="H42" s="1"/>
      <c r="I42" s="1"/>
      <c r="J42" s="1"/>
      <c r="K42" s="1"/>
      <c r="L42" s="1"/>
      <c r="M42" s="1"/>
      <c r="N42" s="1"/>
      <c r="O42" s="1"/>
      <c r="P42" s="1"/>
      <c r="Q42" s="1"/>
      <c r="R42" s="1"/>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password="EF77" sheet="1" objects="1" scenarios="1"/>
  <mergeCells count="1">
    <mergeCell ref="D8:E8"/>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3"/>
  <headerFooter alignWithMargins="0">
    <oddFooter>&amp;L&amp;F / &amp;A / &amp;D&amp;RSeite &amp;P von &amp;N</oddFooter>
  </headerFooter>
  <legacyDrawing r:id="rId2"/>
  <oleObjects>
    <oleObject progId="AutoCAD.Drawing.15" shapeId="559912" r:id="rId1"/>
  </oleObjects>
</worksheet>
</file>

<file path=xl/worksheets/sheet7.xml><?xml version="1.0" encoding="utf-8"?>
<worksheet xmlns="http://schemas.openxmlformats.org/spreadsheetml/2006/main" xmlns:r="http://schemas.openxmlformats.org/officeDocument/2006/relationships">
  <sheetPr codeName="Tabelle12"/>
  <dimension ref="A2:AF383"/>
  <sheetViews>
    <sheetView showGridLines="0" showRowColHeaders="0" zoomScale="95" zoomScaleNormal="95" workbookViewId="0" topLeftCell="A1">
      <selection activeCell="F35" sqref="F35"/>
    </sheetView>
  </sheetViews>
  <sheetFormatPr defaultColWidth="11.421875" defaultRowHeight="15" customHeight="1"/>
  <cols>
    <col min="1" max="1" width="1.7109375" style="148" customWidth="1"/>
    <col min="2" max="2" width="30.7109375" style="148" customWidth="1"/>
    <col min="3" max="4" width="7.00390625" style="148" customWidth="1"/>
    <col min="5" max="6" width="8.7109375" style="148" customWidth="1"/>
    <col min="7" max="7" width="2.7109375" style="148" customWidth="1"/>
    <col min="8" max="8" width="25.7109375" style="148" customWidth="1"/>
    <col min="9" max="10" width="7.00390625" style="148" customWidth="1"/>
    <col min="11" max="12" width="8.7109375" style="148" customWidth="1"/>
    <col min="13" max="14" width="12.7109375" style="148" customWidth="1"/>
    <col min="15" max="15" width="2.7109375" style="148" customWidth="1"/>
    <col min="16" max="16" width="2.7109375" style="148" hidden="1" customWidth="1"/>
    <col min="17" max="18" width="2.7109375" style="467" hidden="1" customWidth="1"/>
    <col min="19" max="19" width="6.7109375" style="468" hidden="1" customWidth="1"/>
    <col min="20" max="20" width="0" style="468" hidden="1" customWidth="1"/>
    <col min="21" max="26" width="0" style="467" hidden="1" customWidth="1"/>
    <col min="27" max="28" width="0" style="468" hidden="1" customWidth="1"/>
    <col min="29" max="29" width="16.00390625" style="467" hidden="1" customWidth="1"/>
    <col min="30" max="30" width="16.7109375" style="467" hidden="1" customWidth="1"/>
    <col min="31" max="31" width="0" style="467" hidden="1" customWidth="1"/>
    <col min="32" max="34" width="2.7109375" style="148" customWidth="1"/>
    <col min="35" max="16384" width="11.421875" style="148" customWidth="1"/>
  </cols>
  <sheetData>
    <row r="1" ht="7.5" customHeight="1"/>
    <row r="2" spans="1:16" ht="15" customHeight="1">
      <c r="A2" s="147"/>
      <c r="B2" s="120" t="str">
        <f>0!C104</f>
        <v>Proje :</v>
      </c>
      <c r="C2" s="6" t="str">
        <f>1!C1</f>
        <v>Takım tezgahı</v>
      </c>
      <c r="D2" s="149"/>
      <c r="E2" s="149"/>
      <c r="F2" s="149"/>
      <c r="G2" s="149"/>
      <c r="H2" s="149"/>
      <c r="I2" s="1"/>
      <c r="J2" s="1"/>
      <c r="K2" s="469" t="str">
        <f>Info!B11</f>
        <v>www.guven-kutay.ch</v>
      </c>
      <c r="M2" s="81"/>
      <c r="N2" s="120" t="str">
        <f>Info!N11</f>
        <v>Copyright : M. G. Kutay , Ver 10.02</v>
      </c>
      <c r="O2" s="147"/>
      <c r="P2" s="147"/>
    </row>
    <row r="3" spans="1:16" ht="7.5" customHeight="1">
      <c r="A3" s="147"/>
      <c r="B3" s="470"/>
      <c r="C3" s="354"/>
      <c r="D3" s="354"/>
      <c r="E3" s="354"/>
      <c r="F3" s="354"/>
      <c r="G3" s="354"/>
      <c r="H3" s="354"/>
      <c r="I3" s="354"/>
      <c r="J3" s="354"/>
      <c r="M3" s="81"/>
      <c r="N3" s="81"/>
      <c r="O3" s="147"/>
      <c r="P3" s="147"/>
    </row>
    <row r="4" spans="1:16" ht="15" customHeight="1">
      <c r="A4" s="147"/>
      <c r="B4" s="322" t="str">
        <f>0!AF36</f>
        <v>5.   2. Kademeninde mukavemet hesapları  </v>
      </c>
      <c r="C4" s="354"/>
      <c r="D4" s="354"/>
      <c r="E4" s="726"/>
      <c r="F4" s="354"/>
      <c r="G4" s="354"/>
      <c r="H4" s="354"/>
      <c r="I4" s="354"/>
      <c r="J4" s="354"/>
      <c r="M4" s="81"/>
      <c r="N4" s="81"/>
      <c r="O4" s="147"/>
      <c r="P4" s="147"/>
    </row>
    <row r="5" spans="1:16" ht="7.5" customHeight="1">
      <c r="A5" s="147"/>
      <c r="C5" s="354"/>
      <c r="D5" s="354"/>
      <c r="E5" s="354"/>
      <c r="F5" s="354"/>
      <c r="G5" s="354"/>
      <c r="H5" s="354"/>
      <c r="I5" s="354"/>
      <c r="J5" s="354"/>
      <c r="M5" s="81"/>
      <c r="N5" s="81"/>
      <c r="O5" s="147"/>
      <c r="P5" s="147"/>
    </row>
    <row r="6" spans="1:12" ht="15" customHeight="1">
      <c r="A6" s="147"/>
      <c r="B6" s="176" t="str">
        <f>0!C39</f>
        <v>A) Diş dibi kırılma mukavemet hesabı</v>
      </c>
      <c r="C6" s="399"/>
      <c r="D6" s="399"/>
      <c r="E6" s="97" t="str">
        <f>0!C109</f>
        <v>Pinyon</v>
      </c>
      <c r="F6" s="97" t="str">
        <f>0!C105</f>
        <v>Çark</v>
      </c>
      <c r="H6" s="466" t="str">
        <f>0!C47</f>
        <v>B) Diş yanağı form mukavemet hesabı</v>
      </c>
      <c r="I6" s="5"/>
      <c r="J6" s="5"/>
      <c r="K6" s="97"/>
      <c r="L6" s="5"/>
    </row>
    <row r="7" spans="1:14" ht="15" customHeight="1">
      <c r="A7" s="147"/>
      <c r="B7" s="155" t="str">
        <f>0!C121</f>
        <v>Teğet Kuvvet</v>
      </c>
      <c r="C7" s="249" t="s">
        <v>53</v>
      </c>
      <c r="D7" s="157" t="s">
        <v>43</v>
      </c>
      <c r="E7" s="165">
        <f>2*1!G8/4!D30</f>
        <v>11321.415901988605</v>
      </c>
      <c r="F7" s="158">
        <f>E7</f>
        <v>11321.415901988605</v>
      </c>
      <c r="G7" s="1"/>
      <c r="H7" s="155" t="str">
        <f>0!C122</f>
        <v>Taksimat dairesi</v>
      </c>
      <c r="I7" s="471" t="s">
        <v>24</v>
      </c>
      <c r="J7" s="157" t="s">
        <v>57</v>
      </c>
      <c r="K7" s="163">
        <f>4!D30</f>
        <v>92.95159520455</v>
      </c>
      <c r="L7" s="472" t="s">
        <v>194</v>
      </c>
      <c r="M7" s="473">
        <f>2*N26*TAN(M8)/N28-N30</f>
        <v>0.8213968865013419</v>
      </c>
      <c r="N7" s="474">
        <f>2*N27*TAN(N8)/N29-N31</f>
        <v>0.9852858422098076</v>
      </c>
    </row>
    <row r="8" spans="1:14" ht="15" customHeight="1">
      <c r="A8" s="147"/>
      <c r="B8" s="156" t="str">
        <f>0!C143</f>
        <v>Diş dibi mukavemeti</v>
      </c>
      <c r="C8" s="475" t="s">
        <v>67</v>
      </c>
      <c r="D8" s="205" t="s">
        <v>52</v>
      </c>
      <c r="E8" s="166">
        <f>1!G31</f>
        <v>310</v>
      </c>
      <c r="F8" s="159">
        <f>1!G32</f>
        <v>310</v>
      </c>
      <c r="G8" s="1"/>
      <c r="H8" s="156" t="str">
        <f>0!C138</f>
        <v>Diş genişliği</v>
      </c>
      <c r="I8" s="476" t="s">
        <v>8</v>
      </c>
      <c r="J8" s="205" t="s">
        <v>57</v>
      </c>
      <c r="K8" s="164">
        <f>4!E9</f>
        <v>105</v>
      </c>
      <c r="L8" s="5"/>
      <c r="M8" s="477">
        <f>M7</f>
        <v>0.8213968865013419</v>
      </c>
      <c r="N8" s="478">
        <f>N7</f>
        <v>0.9852858422098076</v>
      </c>
    </row>
    <row r="9" spans="1:28" ht="15" customHeight="1">
      <c r="A9" s="147"/>
      <c r="B9" s="156" t="str">
        <f>0!C142</f>
        <v>Diş yanak mukavemeti</v>
      </c>
      <c r="C9" s="475" t="s">
        <v>68</v>
      </c>
      <c r="D9" s="205" t="s">
        <v>52</v>
      </c>
      <c r="E9" s="166">
        <f>1!G33</f>
        <v>1100</v>
      </c>
      <c r="F9" s="159">
        <f>1!G34</f>
        <v>1100</v>
      </c>
      <c r="G9" s="1"/>
      <c r="H9" s="156" t="str">
        <f>0!C94</f>
        <v>Modül</v>
      </c>
      <c r="I9" s="479" t="s">
        <v>60</v>
      </c>
      <c r="J9" s="218" t="s">
        <v>57</v>
      </c>
      <c r="K9" s="164">
        <f>4!D7</f>
        <v>5</v>
      </c>
      <c r="L9" s="5"/>
      <c r="V9" s="480" t="str">
        <f>IF(MIN(E31:F31)&gt;E32,"Yeterli","Yetersiz")</f>
        <v>Yeterli</v>
      </c>
      <c r="W9" s="427"/>
      <c r="X9" s="427"/>
      <c r="Y9" s="427"/>
      <c r="Z9" s="427"/>
      <c r="AA9" s="418"/>
      <c r="AB9" s="480" t="str">
        <f>IF(MIN(K33:L33)&gt;K34,"Yeterli","Yetersiz")</f>
        <v>Yeterli</v>
      </c>
    </row>
    <row r="10" spans="1:28" ht="15" customHeight="1">
      <c r="A10" s="147"/>
      <c r="B10" s="16" t="str">
        <f>0!C62</f>
        <v>Elastiklik modülü</v>
      </c>
      <c r="C10" s="343" t="s">
        <v>195</v>
      </c>
      <c r="D10" s="206" t="s">
        <v>52</v>
      </c>
      <c r="E10" s="254">
        <f>1!G27</f>
        <v>210000</v>
      </c>
      <c r="F10" s="255">
        <f>1!G28</f>
        <v>210000</v>
      </c>
      <c r="G10" s="1"/>
      <c r="H10" s="16" t="str">
        <f>0!C141</f>
        <v>Çevirme oranı</v>
      </c>
      <c r="I10" s="481" t="s">
        <v>0</v>
      </c>
      <c r="J10" s="265" t="s">
        <v>84</v>
      </c>
      <c r="K10" s="162">
        <f>4!E6/4!D6</f>
        <v>4.333333333333333</v>
      </c>
      <c r="L10" s="5"/>
      <c r="M10" s="956" t="str">
        <f>IF(Info!I13&gt;2.5,S24,IF(Info!I13&gt;1.5,S19,S14))</f>
        <v>Bu bir yineleme hesabıdır. Mavi karelerde "#ZAHL! " veya " #DIV0!" görüldüğünde, "#ZAHL! "  veya " #DIV0!" yerine "=Tetanın kare numarasını" (bir üst kare) veriniz. Daha sonra standart çubukta şu emirleri veriniz: </v>
      </c>
      <c r="N10" s="956"/>
      <c r="V10" s="480" t="str">
        <f>IF(MIN(E31:F31)&gt;E32,"zulässig ","  Nicht zulässig!")</f>
        <v>zulässig </v>
      </c>
      <c r="AB10" s="480" t="str">
        <f>IF(MIN(K33:L33)&gt;K34,"zulässig ","  Nicht zulässig!")</f>
        <v>zulässig </v>
      </c>
    </row>
    <row r="11" spans="1:28" ht="15" customHeight="1">
      <c r="A11" s="147"/>
      <c r="B11" s="96" t="str">
        <f>0!C99</f>
        <v>Kısmi diş dibi gerilimi</v>
      </c>
      <c r="C11" s="482"/>
      <c r="D11" s="147"/>
      <c r="E11" s="5"/>
      <c r="F11" s="5"/>
      <c r="G11" s="1"/>
      <c r="H11" s="483" t="str">
        <f>0!C98</f>
        <v>Yerel Hertz basıncı</v>
      </c>
      <c r="I11" s="256"/>
      <c r="J11" s="5"/>
      <c r="K11" s="81"/>
      <c r="L11" s="5"/>
      <c r="M11" s="956"/>
      <c r="N11" s="956"/>
      <c r="V11" s="480" t="str">
        <f>IF(MIN(E31:F31)&gt;E32,"Permissible","Inadmissible! ")</f>
        <v>Permissible</v>
      </c>
      <c r="AB11" s="480" t="str">
        <f>IF(MIN(K33:L33)&gt;K34,"Permissible","Inadmissible! ")</f>
        <v>Permissible</v>
      </c>
    </row>
    <row r="12" spans="1:14" ht="15" customHeight="1">
      <c r="A12" s="147"/>
      <c r="B12" s="155" t="str">
        <f>0!C99</f>
        <v>Kısmi diş dibi gerilimi</v>
      </c>
      <c r="C12" s="484" t="s">
        <v>196</v>
      </c>
      <c r="D12" s="175" t="s">
        <v>52</v>
      </c>
      <c r="E12" s="167">
        <f>E7/4!E9/4!D7*E13*E14*E15*E16</f>
        <v>60.409260108041046</v>
      </c>
      <c r="F12" s="167">
        <f>F7/4!E9/4!D7*F13*F14*F15*F16</f>
        <v>59.10501761196443</v>
      </c>
      <c r="G12" s="1"/>
      <c r="H12" s="155" t="str">
        <f>0!C98</f>
        <v>Yerel Hertz basıncı</v>
      </c>
      <c r="I12" s="485" t="s">
        <v>197</v>
      </c>
      <c r="J12" s="157" t="s">
        <v>52</v>
      </c>
      <c r="K12" s="170">
        <f>K18*K13*K14</f>
        <v>432.9245366727027</v>
      </c>
      <c r="L12" s="354"/>
      <c r="M12" s="956"/>
      <c r="N12" s="956"/>
    </row>
    <row r="13" spans="1:14" ht="15" customHeight="1">
      <c r="A13" s="147"/>
      <c r="B13" s="156" t="str">
        <f>0!C84</f>
        <v>Dişüstü faktörü</v>
      </c>
      <c r="C13" s="252" t="s">
        <v>198</v>
      </c>
      <c r="D13" s="264" t="s">
        <v>84</v>
      </c>
      <c r="E13" s="486">
        <f>AA44</f>
        <v>2.504985586704866</v>
      </c>
      <c r="F13" s="487">
        <f>AD44</f>
        <v>2.15680729974334</v>
      </c>
      <c r="G13" s="1"/>
      <c r="H13" s="156" t="str">
        <f>0!C125</f>
        <v>Yük payı faktörü</v>
      </c>
      <c r="I13" s="257" t="s">
        <v>199</v>
      </c>
      <c r="J13" s="264" t="s">
        <v>84</v>
      </c>
      <c r="K13" s="488">
        <f>AD297</f>
        <v>0.8170649791844806</v>
      </c>
      <c r="L13" s="354"/>
      <c r="M13" s="956"/>
      <c r="N13" s="956"/>
    </row>
    <row r="14" spans="1:30" ht="15" customHeight="1">
      <c r="A14" s="147"/>
      <c r="B14" s="156" t="str">
        <f>0!C116</f>
        <v>Çentik faktörü</v>
      </c>
      <c r="C14" s="252" t="s">
        <v>200</v>
      </c>
      <c r="D14" s="264" t="s">
        <v>84</v>
      </c>
      <c r="E14" s="486">
        <f>Z211</f>
        <v>1.758800363701726</v>
      </c>
      <c r="F14" s="487">
        <f>AD211</f>
        <v>1.9986247809284443</v>
      </c>
      <c r="G14" s="1"/>
      <c r="H14" s="156" t="str">
        <f>B16</f>
        <v>Helis faktörü </v>
      </c>
      <c r="I14" s="257" t="s">
        <v>201</v>
      </c>
      <c r="J14" s="264" t="s">
        <v>84</v>
      </c>
      <c r="K14" s="488">
        <f>AD307</f>
        <v>0.9839948626507062</v>
      </c>
      <c r="L14" s="354"/>
      <c r="M14" s="956"/>
      <c r="N14" s="956"/>
      <c r="S14" s="953" t="s">
        <v>202</v>
      </c>
      <c r="T14" s="953"/>
      <c r="U14" s="953"/>
      <c r="V14" s="953"/>
      <c r="W14" s="953"/>
      <c r="X14" s="953"/>
      <c r="Y14" s="953"/>
      <c r="Z14" s="953"/>
      <c r="AA14" s="953"/>
      <c r="AB14" s="953"/>
      <c r="AC14" s="953"/>
      <c r="AD14" s="953"/>
    </row>
    <row r="15" spans="1:30" ht="15" customHeight="1">
      <c r="A15" s="147"/>
      <c r="B15" s="156" t="str">
        <f>0!C125</f>
        <v>Yük payı faktörü</v>
      </c>
      <c r="C15" s="252" t="s">
        <v>203</v>
      </c>
      <c r="D15" s="264" t="s">
        <v>84</v>
      </c>
      <c r="E15" s="335">
        <f>AD154</f>
        <v>0.7230635535342321</v>
      </c>
      <c r="F15" s="268">
        <f>E15</f>
        <v>0.7230635535342321</v>
      </c>
      <c r="G15" s="1"/>
      <c r="H15" s="156" t="str">
        <f>0!C146</f>
        <v>Diş yanağı form faktörü </v>
      </c>
      <c r="I15" s="257" t="s">
        <v>204</v>
      </c>
      <c r="J15" s="264" t="s">
        <v>84</v>
      </c>
      <c r="K15" s="488">
        <f>AD311</f>
        <v>2.351517104704709</v>
      </c>
      <c r="L15" s="354"/>
      <c r="M15" s="956"/>
      <c r="N15" s="956"/>
      <c r="S15" s="953"/>
      <c r="T15" s="953"/>
      <c r="U15" s="953"/>
      <c r="V15" s="953"/>
      <c r="W15" s="953"/>
      <c r="X15" s="953"/>
      <c r="Y15" s="953"/>
      <c r="Z15" s="953"/>
      <c r="AA15" s="953"/>
      <c r="AB15" s="953"/>
      <c r="AC15" s="953"/>
      <c r="AD15" s="953"/>
    </row>
    <row r="16" spans="1:14" ht="15" customHeight="1">
      <c r="A16" s="147"/>
      <c r="B16" s="16" t="str">
        <f>0!C112</f>
        <v>Helis faktörü </v>
      </c>
      <c r="C16" s="489" t="s">
        <v>205</v>
      </c>
      <c r="D16" s="265" t="s">
        <v>84</v>
      </c>
      <c r="E16" s="490">
        <f>AD156</f>
        <v>0.8793541666666667</v>
      </c>
      <c r="F16" s="13">
        <f>E16</f>
        <v>0.8793541666666667</v>
      </c>
      <c r="G16" s="1"/>
      <c r="H16" s="16" t="str">
        <f>0!C61</f>
        <v>Elastikiyet faktörü </v>
      </c>
      <c r="I16" s="258" t="s">
        <v>206</v>
      </c>
      <c r="J16" s="265" t="s">
        <v>84</v>
      </c>
      <c r="K16" s="491">
        <f>AD316</f>
        <v>191.64567250641844</v>
      </c>
      <c r="L16" s="354"/>
      <c r="M16" s="956"/>
      <c r="N16" s="956"/>
    </row>
    <row r="17" spans="1:30" ht="15" customHeight="1">
      <c r="A17" s="147"/>
      <c r="B17" s="96" t="str">
        <f>0!C71</f>
        <v>Diş dibi karşılaştırma mukavemeti</v>
      </c>
      <c r="C17" s="250"/>
      <c r="D17" s="147"/>
      <c r="E17" s="5"/>
      <c r="F17" s="5"/>
      <c r="G17" s="1"/>
      <c r="H17" s="34" t="str">
        <f>0!C131</f>
        <v>İşletmede Hertz basıncı</v>
      </c>
      <c r="I17" s="256"/>
      <c r="J17" s="5"/>
      <c r="K17" s="81"/>
      <c r="L17" s="354"/>
      <c r="M17" s="956"/>
      <c r="N17" s="956"/>
      <c r="S17" s="954" t="s">
        <v>207</v>
      </c>
      <c r="T17" s="954"/>
      <c r="U17" s="954"/>
      <c r="V17" s="954"/>
      <c r="W17" s="954"/>
      <c r="X17" s="954"/>
      <c r="Y17" s="954"/>
      <c r="Z17" s="954"/>
      <c r="AA17" s="954"/>
      <c r="AB17" s="954"/>
      <c r="AC17" s="954"/>
      <c r="AD17" s="954"/>
    </row>
    <row r="18" spans="1:14" ht="15" customHeight="1">
      <c r="A18" s="147"/>
      <c r="B18" s="155" t="str">
        <f>0!C71</f>
        <v>Diş dibi karşılaştırma mukavemeti</v>
      </c>
      <c r="C18" s="484" t="s">
        <v>208</v>
      </c>
      <c r="D18" s="157" t="s">
        <v>52</v>
      </c>
      <c r="E18" s="168">
        <f>E12*E19*E20*E21*E22</f>
        <v>240.88377179089767</v>
      </c>
      <c r="F18" s="160">
        <f>F12*F19*F20*F21*F22</f>
        <v>235.68306495848455</v>
      </c>
      <c r="G18" s="1"/>
      <c r="H18" s="155" t="str">
        <f>0!C82</f>
        <v>Yanaklarda Hertz basıncı</v>
      </c>
      <c r="I18" s="485" t="s">
        <v>209</v>
      </c>
      <c r="J18" s="157" t="s">
        <v>52</v>
      </c>
      <c r="K18" s="170">
        <f>(E7*(K10+1)/(K8*K7*K10))^(0.5)*K15*K16</f>
        <v>538.4715637731886</v>
      </c>
      <c r="L18" s="354"/>
      <c r="M18" s="956" t="str">
        <f>IF(Info!I13&gt;2.5,S27,IF(Info!I13&gt;1.5,S22,S17))</f>
        <v>Araçlar  /  Seçenekler  /  Hesaplama  / yinelemeyi çengelleyin /  Şimdi Hesapla (F9) veya Tamam'a basın.</v>
      </c>
      <c r="N18" s="956"/>
    </row>
    <row r="19" spans="1:30" ht="15" customHeight="1">
      <c r="A19" s="147"/>
      <c r="B19" s="156" t="str">
        <f>0!C45</f>
        <v>İşletme faktörü </v>
      </c>
      <c r="C19" s="251" t="s">
        <v>210</v>
      </c>
      <c r="D19" s="264" t="s">
        <v>84</v>
      </c>
      <c r="E19" s="335">
        <f>'11'!O7</f>
        <v>1.5</v>
      </c>
      <c r="F19" s="268">
        <f>E19</f>
        <v>1.5</v>
      </c>
      <c r="G19" s="1"/>
      <c r="H19" s="156" t="str">
        <f>H17</f>
        <v>İşletmede Hertz basıncı</v>
      </c>
      <c r="I19" s="492" t="s">
        <v>154</v>
      </c>
      <c r="J19" s="205" t="s">
        <v>52</v>
      </c>
      <c r="K19" s="493">
        <f>K12*(K20*K21*K22*K23)^(0.5)</f>
        <v>904.5023240932095</v>
      </c>
      <c r="L19" s="354"/>
      <c r="M19" s="956"/>
      <c r="N19" s="956"/>
      <c r="S19" s="955" t="s">
        <v>211</v>
      </c>
      <c r="T19" s="955"/>
      <c r="U19" s="955"/>
      <c r="V19" s="955"/>
      <c r="W19" s="955"/>
      <c r="X19" s="955"/>
      <c r="Y19" s="955"/>
      <c r="Z19" s="955"/>
      <c r="AA19" s="955"/>
      <c r="AB19" s="955"/>
      <c r="AC19" s="955"/>
      <c r="AD19" s="955"/>
    </row>
    <row r="20" spans="1:30" ht="15" customHeight="1">
      <c r="A20" s="147"/>
      <c r="B20" s="156" t="str">
        <f>0!C58</f>
        <v>Dinamik faktör</v>
      </c>
      <c r="C20" s="252" t="s">
        <v>212</v>
      </c>
      <c r="D20" s="264" t="s">
        <v>84</v>
      </c>
      <c r="E20" s="335">
        <f>AD94</f>
        <v>1.0332481090980172</v>
      </c>
      <c r="F20" s="268">
        <f>E20</f>
        <v>1.0332481090980172</v>
      </c>
      <c r="G20" s="1"/>
      <c r="H20" s="156" t="str">
        <f>B19</f>
        <v>İşletme faktörü </v>
      </c>
      <c r="I20" s="494" t="s">
        <v>210</v>
      </c>
      <c r="J20" s="264" t="s">
        <v>84</v>
      </c>
      <c r="K20" s="268">
        <f>E19</f>
        <v>1.5</v>
      </c>
      <c r="L20" s="354"/>
      <c r="M20" s="956"/>
      <c r="N20" s="956"/>
      <c r="S20" s="955"/>
      <c r="T20" s="955"/>
      <c r="U20" s="955"/>
      <c r="V20" s="955"/>
      <c r="W20" s="955"/>
      <c r="X20" s="955"/>
      <c r="Y20" s="955"/>
      <c r="Z20" s="955"/>
      <c r="AA20" s="955"/>
      <c r="AB20" s="955"/>
      <c r="AC20" s="955"/>
      <c r="AD20" s="955"/>
    </row>
    <row r="21" spans="1:14" ht="15" customHeight="1">
      <c r="A21" s="147"/>
      <c r="B21" s="156" t="str">
        <f>0!C55</f>
        <v>Yük dağılma faktörü</v>
      </c>
      <c r="C21" s="252" t="s">
        <v>213</v>
      </c>
      <c r="D21" s="264" t="s">
        <v>84</v>
      </c>
      <c r="E21" s="495">
        <f>AD150</f>
        <v>2.1440104707420273</v>
      </c>
      <c r="F21" s="268">
        <f>E21</f>
        <v>2.1440104707420273</v>
      </c>
      <c r="G21" s="1"/>
      <c r="H21" s="156" t="str">
        <f>B20</f>
        <v>Dinamik faktör</v>
      </c>
      <c r="I21" s="257" t="s">
        <v>212</v>
      </c>
      <c r="J21" s="264" t="s">
        <v>84</v>
      </c>
      <c r="K21" s="268">
        <f>E20</f>
        <v>1.0332481090980172</v>
      </c>
      <c r="L21" s="354"/>
      <c r="M21" s="956"/>
      <c r="N21" s="956"/>
    </row>
    <row r="22" spans="1:30" ht="15" customHeight="1">
      <c r="A22" s="147"/>
      <c r="B22" s="207" t="str">
        <f>0!C120</f>
        <v>Alın yükü dağılma faktörü</v>
      </c>
      <c r="C22" s="253" t="s">
        <v>214</v>
      </c>
      <c r="D22" s="265" t="s">
        <v>84</v>
      </c>
      <c r="E22" s="490">
        <f>AD158</f>
        <v>1.2</v>
      </c>
      <c r="F22" s="13">
        <f>E22</f>
        <v>1.2</v>
      </c>
      <c r="G22" s="1"/>
      <c r="H22" s="156" t="str">
        <f>B21</f>
        <v>Yük dağılma faktörü</v>
      </c>
      <c r="I22" s="257" t="s">
        <v>215</v>
      </c>
      <c r="J22" s="264" t="s">
        <v>84</v>
      </c>
      <c r="K22" s="268">
        <f>AD84</f>
        <v>2.3470257168534507</v>
      </c>
      <c r="L22" s="354"/>
      <c r="M22" s="956"/>
      <c r="N22" s="956"/>
      <c r="S22" s="957" t="s">
        <v>216</v>
      </c>
      <c r="T22" s="957"/>
      <c r="U22" s="957"/>
      <c r="V22" s="957"/>
      <c r="W22" s="957"/>
      <c r="X22" s="957"/>
      <c r="Y22" s="957"/>
      <c r="Z22" s="957"/>
      <c r="AA22" s="957"/>
      <c r="AB22" s="957"/>
      <c r="AC22" s="957"/>
      <c r="AD22" s="957"/>
    </row>
    <row r="23" spans="1:14" ht="15" customHeight="1">
      <c r="A23" s="147"/>
      <c r="B23" s="96" t="str">
        <f>0!C76</f>
        <v>Diş dibi form mukavemeti</v>
      </c>
      <c r="C23" s="482"/>
      <c r="D23" s="5"/>
      <c r="E23" s="5"/>
      <c r="F23" s="5"/>
      <c r="G23" s="1"/>
      <c r="H23" s="16" t="str">
        <f>B22</f>
        <v>Alın yükü dağılma faktörü</v>
      </c>
      <c r="I23" s="258" t="s">
        <v>217</v>
      </c>
      <c r="J23" s="265" t="s">
        <v>84</v>
      </c>
      <c r="K23" s="13">
        <f>E22</f>
        <v>1.2</v>
      </c>
      <c r="L23" s="354"/>
      <c r="M23" s="1"/>
      <c r="N23" s="1"/>
    </row>
    <row r="24" spans="1:30" ht="15" customHeight="1">
      <c r="A24" s="147"/>
      <c r="B24" s="208" t="str">
        <f>0!C76</f>
        <v>Diş dibi form mukavemeti</v>
      </c>
      <c r="C24" s="496" t="s">
        <v>153</v>
      </c>
      <c r="D24" s="175" t="s">
        <v>52</v>
      </c>
      <c r="E24" s="171">
        <f>E8*E25*E26*E27*E28*E29</f>
        <v>637.7697773674023</v>
      </c>
      <c r="F24" s="172">
        <f>F8*F25*F26*F27*F28*F29</f>
        <v>637.7697773674023</v>
      </c>
      <c r="G24" s="1"/>
      <c r="H24" s="34" t="str">
        <f>0!C75</f>
        <v>Diş yanağı form mukavemeti</v>
      </c>
      <c r="I24" s="256"/>
      <c r="J24" s="5"/>
      <c r="K24" s="97" t="str">
        <f>E6</f>
        <v>Pinyon</v>
      </c>
      <c r="L24" s="97" t="str">
        <f>F6</f>
        <v>Çark</v>
      </c>
      <c r="M24" s="354"/>
      <c r="N24" s="147"/>
      <c r="S24" s="958" t="s">
        <v>218</v>
      </c>
      <c r="T24" s="958"/>
      <c r="U24" s="958"/>
      <c r="V24" s="958"/>
      <c r="W24" s="958"/>
      <c r="X24" s="958"/>
      <c r="Y24" s="958"/>
      <c r="Z24" s="958"/>
      <c r="AA24" s="958"/>
      <c r="AB24" s="958"/>
      <c r="AC24" s="958"/>
      <c r="AD24" s="958"/>
    </row>
    <row r="25" spans="1:30" ht="15" customHeight="1">
      <c r="A25" s="147"/>
      <c r="B25" s="210" t="str">
        <f>0!C116</f>
        <v>Çentik faktörü</v>
      </c>
      <c r="C25" s="251" t="s">
        <v>48</v>
      </c>
      <c r="D25" s="264" t="s">
        <v>84</v>
      </c>
      <c r="E25" s="486">
        <f>AD242</f>
        <v>2</v>
      </c>
      <c r="F25" s="268">
        <f>E25</f>
        <v>2</v>
      </c>
      <c r="G25" s="1"/>
      <c r="H25" s="9" t="str">
        <f>H24</f>
        <v>Diş yanağı form mukavemeti</v>
      </c>
      <c r="I25" s="485" t="s">
        <v>155</v>
      </c>
      <c r="J25" s="157" t="s">
        <v>52</v>
      </c>
      <c r="K25" s="161">
        <f>E9*K26*(K27*K28*K29)*K30*K31</f>
        <v>1258.0606164002966</v>
      </c>
      <c r="L25" s="161">
        <f>E9*L26*(L27*L28*L29)*L30*L31</f>
        <v>1258.0606164002966</v>
      </c>
      <c r="S25" s="958"/>
      <c r="T25" s="958"/>
      <c r="U25" s="958"/>
      <c r="V25" s="958"/>
      <c r="W25" s="958"/>
      <c r="X25" s="958"/>
      <c r="Y25" s="958"/>
      <c r="Z25" s="958"/>
      <c r="AA25" s="958"/>
      <c r="AB25" s="958"/>
      <c r="AC25" s="958"/>
      <c r="AD25" s="958"/>
    </row>
    <row r="26" spans="1:14" ht="15" customHeight="1">
      <c r="A26" s="147"/>
      <c r="B26" s="156" t="str">
        <f>0!C92</f>
        <v>Dayanma süresi faktörü </v>
      </c>
      <c r="C26" s="252" t="s">
        <v>49</v>
      </c>
      <c r="D26" s="264" t="s">
        <v>84</v>
      </c>
      <c r="E26" s="486">
        <f>AD245</f>
        <v>1</v>
      </c>
      <c r="F26" s="268">
        <f>E26</f>
        <v>1</v>
      </c>
      <c r="G26" s="1"/>
      <c r="H26" s="261" t="str">
        <f>B26</f>
        <v>Dayanma süresi faktörü </v>
      </c>
      <c r="I26" s="257" t="s">
        <v>220</v>
      </c>
      <c r="J26" s="264" t="s">
        <v>84</v>
      </c>
      <c r="K26" s="486">
        <f>AD334</f>
        <v>1.2370058841467824</v>
      </c>
      <c r="L26" s="268">
        <f aca="true" t="shared" si="0" ref="L26:L31">K26</f>
        <v>1.2370058841467824</v>
      </c>
      <c r="M26" s="119" t="s">
        <v>219</v>
      </c>
      <c r="N26" s="497">
        <f>Z199</f>
        <v>-0.75</v>
      </c>
    </row>
    <row r="27" spans="1:30" ht="15" customHeight="1">
      <c r="A27" s="147"/>
      <c r="B27" s="210" t="str">
        <f>0!C108</f>
        <v>Göreceli dayanışma faktörü</v>
      </c>
      <c r="C27" s="252" t="s">
        <v>55</v>
      </c>
      <c r="D27" s="264" t="s">
        <v>84</v>
      </c>
      <c r="E27" s="486">
        <f>AD255</f>
        <v>1</v>
      </c>
      <c r="F27" s="268">
        <f>E27</f>
        <v>1</v>
      </c>
      <c r="G27" s="1"/>
      <c r="H27" s="156" t="str">
        <f>0!C110</f>
        <v>Yağlama faktörü</v>
      </c>
      <c r="I27" s="257" t="s">
        <v>222</v>
      </c>
      <c r="J27" s="264" t="s">
        <v>84</v>
      </c>
      <c r="K27" s="486">
        <f>AD341</f>
        <v>1.016700364431487</v>
      </c>
      <c r="L27" s="268">
        <f t="shared" si="0"/>
        <v>1.016700364431487</v>
      </c>
      <c r="M27" s="119" t="s">
        <v>221</v>
      </c>
      <c r="N27" s="498">
        <f>AC199</f>
        <v>-0.8115987271075358</v>
      </c>
      <c r="S27" s="952" t="s">
        <v>216</v>
      </c>
      <c r="T27" s="952"/>
      <c r="U27" s="952"/>
      <c r="V27" s="952"/>
      <c r="W27" s="952"/>
      <c r="X27" s="952"/>
      <c r="Y27" s="952"/>
      <c r="Z27" s="952"/>
      <c r="AA27" s="952"/>
      <c r="AB27" s="952"/>
      <c r="AC27" s="952"/>
      <c r="AD27" s="952"/>
    </row>
    <row r="28" spans="1:14" ht="15" customHeight="1">
      <c r="A28" s="147"/>
      <c r="B28" s="210" t="str">
        <f>0!C107</f>
        <v>Göreceli yüzey faktörü</v>
      </c>
      <c r="C28" s="252" t="s">
        <v>50</v>
      </c>
      <c r="D28" s="264" t="s">
        <v>84</v>
      </c>
      <c r="E28" s="486">
        <f>AD258</f>
        <v>1.0286609312377457</v>
      </c>
      <c r="F28" s="268">
        <f>E28</f>
        <v>1.0286609312377457</v>
      </c>
      <c r="G28" s="1"/>
      <c r="H28" s="156" t="str">
        <f>0!C74</f>
        <v>Hız faktörü</v>
      </c>
      <c r="I28" s="257" t="s">
        <v>224</v>
      </c>
      <c r="J28" s="264" t="s">
        <v>84</v>
      </c>
      <c r="K28" s="486">
        <f>AD353</f>
        <v>0.9499514273758362</v>
      </c>
      <c r="L28" s="268">
        <f t="shared" si="0"/>
        <v>0.9499514273758362</v>
      </c>
      <c r="M28" s="119" t="s">
        <v>223</v>
      </c>
      <c r="N28" s="498">
        <f>4!D27</f>
        <v>19.67622631920012</v>
      </c>
    </row>
    <row r="29" spans="1:14" ht="15" customHeight="1">
      <c r="A29" s="147"/>
      <c r="B29" s="207" t="str">
        <f>0!C77</f>
        <v>Büyüklük faktörü</v>
      </c>
      <c r="C29" s="253" t="s">
        <v>51</v>
      </c>
      <c r="D29" s="265" t="s">
        <v>84</v>
      </c>
      <c r="E29" s="499">
        <f>AD270</f>
        <v>1</v>
      </c>
      <c r="F29" s="13">
        <f>E29</f>
        <v>1</v>
      </c>
      <c r="G29" s="1"/>
      <c r="H29" s="156" t="str">
        <f>0!C106</f>
        <v>Kalite faktörü</v>
      </c>
      <c r="I29" s="257" t="s">
        <v>226</v>
      </c>
      <c r="J29" s="264" t="s">
        <v>84</v>
      </c>
      <c r="K29" s="486">
        <f>AD361</f>
        <v>0.9572882702004412</v>
      </c>
      <c r="L29" s="268">
        <f t="shared" si="0"/>
        <v>0.9572882702004412</v>
      </c>
      <c r="M29" s="119" t="s">
        <v>225</v>
      </c>
      <c r="N29" s="498">
        <f>4!E27</f>
        <v>85.26364738320052</v>
      </c>
    </row>
    <row r="30" spans="1:14" ht="15" customHeight="1">
      <c r="A30" s="147"/>
      <c r="B30" s="34" t="str">
        <f>0!C115</f>
        <v>Malzemenin diş dibi yorulma kırılmasına karşı emniyet katsayısı</v>
      </c>
      <c r="C30" s="482"/>
      <c r="D30" s="5"/>
      <c r="E30" s="5"/>
      <c r="F30" s="5"/>
      <c r="G30" s="1"/>
      <c r="H30" s="156" t="str">
        <f>0!C134</f>
        <v>Malzeme çifti faktörü</v>
      </c>
      <c r="I30" s="257" t="s">
        <v>228</v>
      </c>
      <c r="J30" s="264" t="s">
        <v>84</v>
      </c>
      <c r="K30" s="486">
        <f>AD372</f>
        <v>1</v>
      </c>
      <c r="L30" s="268">
        <f t="shared" si="0"/>
        <v>1</v>
      </c>
      <c r="M30" s="119" t="s">
        <v>227</v>
      </c>
      <c r="N30" s="498">
        <f>Z201</f>
        <v>-0.9033271953853855</v>
      </c>
    </row>
    <row r="31" spans="1:14" ht="15" customHeight="1">
      <c r="A31" s="147"/>
      <c r="B31" s="208" t="str">
        <f>0!C132</f>
        <v>Hesapsal Emniyet faktörü</v>
      </c>
      <c r="C31" s="500" t="s">
        <v>156</v>
      </c>
      <c r="D31" s="175" t="s">
        <v>84</v>
      </c>
      <c r="E31" s="216">
        <f>E24/E18</f>
        <v>2.647624506315962</v>
      </c>
      <c r="F31" s="217">
        <f>F24/F18</f>
        <v>2.706048385274288</v>
      </c>
      <c r="G31" s="1"/>
      <c r="H31" s="207" t="str">
        <f>B29</f>
        <v>Büyüklük faktörü</v>
      </c>
      <c r="I31" s="258" t="s">
        <v>230</v>
      </c>
      <c r="J31" s="265" t="s">
        <v>84</v>
      </c>
      <c r="K31" s="499">
        <f>AD376</f>
        <v>1</v>
      </c>
      <c r="L31" s="13">
        <f t="shared" si="0"/>
        <v>1</v>
      </c>
      <c r="M31" s="119" t="s">
        <v>229</v>
      </c>
      <c r="N31" s="498">
        <f>AC201</f>
        <v>-1.0139966998555487</v>
      </c>
    </row>
    <row r="32" spans="1:19" ht="15" customHeight="1">
      <c r="A32" s="147"/>
      <c r="B32" s="16" t="str">
        <f>0!C67</f>
        <v>Gerekli Emniyet faktörü</v>
      </c>
      <c r="C32" s="501" t="s">
        <v>231</v>
      </c>
      <c r="D32" s="265" t="s">
        <v>84</v>
      </c>
      <c r="E32" s="948">
        <f>'10'!G6</f>
        <v>1.4</v>
      </c>
      <c r="F32" s="949"/>
      <c r="G32" s="1"/>
      <c r="H32" s="34" t="str">
        <f>0!C114</f>
        <v>Malzemenin diş yanağının oyuklaşmaya karşı emniyet katsayısı</v>
      </c>
      <c r="I32" s="256"/>
      <c r="J32" s="81"/>
      <c r="K32" s="5"/>
      <c r="L32" s="5"/>
      <c r="M32" s="354"/>
      <c r="N32" s="354"/>
      <c r="S32" s="468">
        <f>(K20*K21*K22*K23)^0.5</f>
        <v>2.0892840379177366</v>
      </c>
    </row>
    <row r="33" spans="1:12" ht="15" customHeight="1">
      <c r="A33" s="147"/>
      <c r="B33" s="354"/>
      <c r="C33" s="354"/>
      <c r="D33" s="354"/>
      <c r="E33" s="950" t="str">
        <f>IF(Info!I13&gt;2.5,V11,IF(Info!I13&gt;1.5,V10,V9))</f>
        <v>Yeterli</v>
      </c>
      <c r="F33" s="950"/>
      <c r="G33" s="1"/>
      <c r="H33" s="208" t="str">
        <f>B31</f>
        <v>Hesapsal Emniyet faktörü</v>
      </c>
      <c r="I33" s="259" t="s">
        <v>157</v>
      </c>
      <c r="J33" s="264" t="s">
        <v>84</v>
      </c>
      <c r="K33" s="266">
        <f>K25/K19</f>
        <v>1.3908871020995328</v>
      </c>
      <c r="L33" s="267">
        <f>L25/K19</f>
        <v>1.3908871020995328</v>
      </c>
    </row>
    <row r="34" spans="1:12" ht="15" customHeight="1">
      <c r="A34" s="147"/>
      <c r="B34" s="502" t="str">
        <f>0!C50</f>
        <v>Düşünceler :</v>
      </c>
      <c r="C34" s="354"/>
      <c r="D34" s="354"/>
      <c r="E34" s="354"/>
      <c r="F34" s="354"/>
      <c r="H34" s="207" t="str">
        <f>B32</f>
        <v>Gerekli Emniyet faktörü</v>
      </c>
      <c r="I34" s="260" t="s">
        <v>232</v>
      </c>
      <c r="J34" s="265" t="s">
        <v>84</v>
      </c>
      <c r="K34" s="948">
        <f>'10'!G7</f>
        <v>0.8</v>
      </c>
      <c r="L34" s="949"/>
    </row>
    <row r="35" spans="1:13" ht="15" customHeight="1">
      <c r="A35" s="354"/>
      <c r="B35" s="361"/>
      <c r="C35" s="361"/>
      <c r="D35" s="361"/>
      <c r="E35" s="361"/>
      <c r="F35" s="354"/>
      <c r="G35" s="354"/>
      <c r="K35" s="951" t="str">
        <f>IF(Info!I13&gt;2.5,AB11,IF(Info!I13&gt;1.5,AB10,AB9))</f>
        <v>Yeterli</v>
      </c>
      <c r="L35" s="951"/>
      <c r="M35" s="248"/>
    </row>
    <row r="36" spans="1:7" ht="15" customHeight="1">
      <c r="A36" s="354"/>
      <c r="B36" s="361"/>
      <c r="C36" s="361"/>
      <c r="D36" s="361"/>
      <c r="E36" s="361"/>
      <c r="F36" s="354"/>
      <c r="G36" s="354"/>
    </row>
    <row r="37" spans="1:16" ht="15" customHeight="1">
      <c r="A37" s="354"/>
      <c r="G37" s="1"/>
      <c r="H37" s="1"/>
      <c r="N37" s="354"/>
      <c r="O37" s="147"/>
      <c r="P37" s="147"/>
    </row>
    <row r="38" spans="1:16" ht="15" customHeight="1">
      <c r="A38" s="354"/>
      <c r="B38" s="354"/>
      <c r="G38" s="1"/>
      <c r="N38" s="354"/>
      <c r="O38" s="147"/>
      <c r="P38" s="147"/>
    </row>
    <row r="39" spans="1:26" ht="19.5" customHeight="1">
      <c r="A39" s="354"/>
      <c r="B39" s="354"/>
      <c r="G39" s="1"/>
      <c r="N39" s="354"/>
      <c r="O39" s="147"/>
      <c r="P39" s="147"/>
      <c r="Z39" s="546"/>
    </row>
    <row r="40" spans="1:16" ht="19.5" customHeight="1">
      <c r="A40" s="354"/>
      <c r="B40" s="354"/>
      <c r="G40" s="1"/>
      <c r="N40" s="354"/>
      <c r="O40" s="147"/>
      <c r="P40" s="147"/>
    </row>
    <row r="41" spans="17:32" ht="19.5" customHeight="1">
      <c r="Q41" s="355"/>
      <c r="R41" s="355"/>
      <c r="S41" s="507"/>
      <c r="T41" s="503" t="str">
        <f>B13</f>
        <v>Dişüstü faktörü</v>
      </c>
      <c r="U41" s="504" t="s">
        <v>233</v>
      </c>
      <c r="V41" s="357"/>
      <c r="W41" s="357"/>
      <c r="X41" s="357"/>
      <c r="Y41" s="357"/>
      <c r="AE41" s="357"/>
      <c r="AF41" s="509"/>
    </row>
    <row r="42" spans="17:32" ht="19.5" customHeight="1">
      <c r="Q42" s="510"/>
      <c r="R42" s="510"/>
      <c r="S42" s="511"/>
      <c r="T42" s="507"/>
      <c r="U42" s="510"/>
      <c r="V42" s="510"/>
      <c r="W42" s="510"/>
      <c r="X42" s="512"/>
      <c r="Y42" s="510"/>
      <c r="Z42" s="510"/>
      <c r="AA42" s="507"/>
      <c r="AB42" s="507"/>
      <c r="AC42" s="510"/>
      <c r="AD42" s="510"/>
      <c r="AE42" s="510"/>
      <c r="AF42" s="513"/>
    </row>
    <row r="43" spans="17:32" ht="19.5" customHeight="1" thickBot="1">
      <c r="Q43" s="510"/>
      <c r="R43" s="510"/>
      <c r="S43" s="511"/>
      <c r="T43" s="507"/>
      <c r="U43" s="510"/>
      <c r="V43" s="510"/>
      <c r="W43" s="510"/>
      <c r="X43" s="512"/>
      <c r="Y43" s="510"/>
      <c r="Z43" s="510"/>
      <c r="AA43" s="507"/>
      <c r="AB43" s="507"/>
      <c r="AC43" s="510"/>
      <c r="AD43" s="510"/>
      <c r="AE43" s="510"/>
      <c r="AF43" s="513"/>
    </row>
    <row r="44" spans="17:32" ht="19.5" customHeight="1" thickBot="1">
      <c r="Q44" s="510"/>
      <c r="R44" s="510"/>
      <c r="S44" s="511"/>
      <c r="T44" s="507"/>
      <c r="U44" s="510"/>
      <c r="V44" s="510"/>
      <c r="W44" s="510"/>
      <c r="X44" s="512"/>
      <c r="Y44" s="510"/>
      <c r="Z44" s="505" t="s">
        <v>234</v>
      </c>
      <c r="AA44" s="506">
        <f>6*AA48*AA49/AA50^2/AA51</f>
        <v>2.504985586704866</v>
      </c>
      <c r="AB44" s="507"/>
      <c r="AC44" s="505" t="s">
        <v>235</v>
      </c>
      <c r="AD44" s="506">
        <f>6*AD48*AD49/AD50^2/AD51</f>
        <v>2.15680729974334</v>
      </c>
      <c r="AE44" s="510"/>
      <c r="AF44" s="513"/>
    </row>
    <row r="45" spans="17:32" ht="19.5" customHeight="1">
      <c r="Q45" s="510"/>
      <c r="R45" s="510"/>
      <c r="S45" s="511"/>
      <c r="T45" s="507"/>
      <c r="U45" s="510"/>
      <c r="V45" s="510"/>
      <c r="W45" s="510"/>
      <c r="X45" s="512"/>
      <c r="Y45" s="510"/>
      <c r="AB45" s="507"/>
      <c r="AE45" s="510"/>
      <c r="AF45" s="513"/>
    </row>
    <row r="46" spans="17:32" ht="19.5" customHeight="1">
      <c r="Q46" s="510"/>
      <c r="R46" s="510"/>
      <c r="S46" s="511"/>
      <c r="T46" s="507"/>
      <c r="U46" s="510"/>
      <c r="V46" s="510"/>
      <c r="W46" s="510"/>
      <c r="X46" s="512"/>
      <c r="Y46" s="510"/>
      <c r="AB46" s="507"/>
      <c r="AE46" s="510"/>
      <c r="AF46" s="513"/>
    </row>
    <row r="47" spans="17:32" ht="19.5" customHeight="1">
      <c r="Q47" s="510"/>
      <c r="R47" s="510"/>
      <c r="S47" s="511"/>
      <c r="T47" s="507"/>
      <c r="U47" s="510"/>
      <c r="V47" s="510"/>
      <c r="W47" s="510"/>
      <c r="X47" s="512"/>
      <c r="Y47" s="510"/>
      <c r="AB47" s="507"/>
      <c r="AE47" s="510"/>
      <c r="AF47" s="513"/>
    </row>
    <row r="48" spans="17:32" ht="19.5" customHeight="1">
      <c r="Q48" s="510"/>
      <c r="R48" s="510"/>
      <c r="S48" s="511"/>
      <c r="T48" s="507"/>
      <c r="U48" s="510"/>
      <c r="V48" s="510"/>
      <c r="W48" s="510"/>
      <c r="X48" s="512"/>
      <c r="Y48" s="510"/>
      <c r="Z48" s="514" t="s">
        <v>236</v>
      </c>
      <c r="AA48" s="515">
        <f>AA57/2*(AA51/AA49-COS(PI()/3-AA55))+0.5*(AA56/AA58-AA54/COS(AA55))</f>
        <v>1.9697982869323893</v>
      </c>
      <c r="AB48" s="507"/>
      <c r="AC48" s="514" t="s">
        <v>237</v>
      </c>
      <c r="AD48" s="516">
        <f>AD57/2*(AD51/AD49-COS(PI()/3-AD55))+0.5*(AD56/AD58-AD54/(COS(AD55)))</f>
        <v>1.9441315982103138</v>
      </c>
      <c r="AE48" s="510"/>
      <c r="AF48" s="513"/>
    </row>
    <row r="49" spans="17:32" ht="19.5" customHeight="1">
      <c r="Q49" s="510"/>
      <c r="R49" s="510"/>
      <c r="S49" s="511"/>
      <c r="T49" s="507"/>
      <c r="U49" s="510"/>
      <c r="V49" s="510"/>
      <c r="W49" s="510"/>
      <c r="X49" s="512"/>
      <c r="Y49" s="510"/>
      <c r="Z49" s="514" t="s">
        <v>589</v>
      </c>
      <c r="AA49" s="515">
        <f>COS(AA60)</f>
        <v>0.8494974101186747</v>
      </c>
      <c r="AB49" s="507"/>
      <c r="AC49" s="514" t="s">
        <v>590</v>
      </c>
      <c r="AD49" s="516">
        <f>COS(AD60)</f>
        <v>0.9180896852773492</v>
      </c>
      <c r="AE49" s="510"/>
      <c r="AF49" s="513"/>
    </row>
    <row r="50" spans="17:32" ht="19.5" customHeight="1">
      <c r="Q50" s="510"/>
      <c r="R50" s="510"/>
      <c r="S50" s="511"/>
      <c r="T50" s="507"/>
      <c r="U50" s="510"/>
      <c r="V50" s="510"/>
      <c r="W50" s="510"/>
      <c r="X50" s="512"/>
      <c r="Y50" s="510"/>
      <c r="Z50" s="514" t="s">
        <v>587</v>
      </c>
      <c r="AA50" s="515">
        <f>AA57*SIN(PI()/3-AA55)+3^0.5*(AA54/COS(AA55)-AA56/AA58)</f>
        <v>2.0652470409688393</v>
      </c>
      <c r="AB50" s="1"/>
      <c r="AC50" s="514" t="s">
        <v>588</v>
      </c>
      <c r="AD50" s="516">
        <f>AD57*SIN(PI()/3-AD55)+3^0.5*(AD54/COS(AD55)-AD56/AD58)</f>
        <v>2.2987007003922493</v>
      </c>
      <c r="AE50" s="510"/>
      <c r="AF50" s="1"/>
    </row>
    <row r="51" spans="17:32" ht="19.5" customHeight="1">
      <c r="Q51" s="510"/>
      <c r="R51" s="510"/>
      <c r="S51" s="511"/>
      <c r="T51" s="507"/>
      <c r="U51" s="510"/>
      <c r="V51" s="510"/>
      <c r="W51" s="510"/>
      <c r="X51" s="512"/>
      <c r="Y51" s="510"/>
      <c r="Z51" s="514" t="s">
        <v>592</v>
      </c>
      <c r="AA51" s="515">
        <f>COS(2!D8*PI()/180)</f>
        <v>0.9396926207859084</v>
      </c>
      <c r="AB51" s="507"/>
      <c r="AC51" s="514" t="s">
        <v>592</v>
      </c>
      <c r="AD51" s="516">
        <f>AA51</f>
        <v>0.9396926207859084</v>
      </c>
      <c r="AE51" s="510"/>
      <c r="AF51" s="513"/>
    </row>
    <row r="52" spans="17:32" ht="19.5" customHeight="1">
      <c r="Q52" s="510"/>
      <c r="R52" s="510"/>
      <c r="S52" s="511"/>
      <c r="T52" s="507"/>
      <c r="U52" s="510"/>
      <c r="V52" s="510"/>
      <c r="W52" s="510"/>
      <c r="X52" s="512"/>
      <c r="Y52" s="510"/>
      <c r="Z52" s="510"/>
      <c r="AA52" s="507"/>
      <c r="AB52" s="507"/>
      <c r="AC52" s="510"/>
      <c r="AD52" s="510"/>
      <c r="AE52" s="510"/>
      <c r="AF52" s="513"/>
    </row>
    <row r="53" spans="17:32" ht="19.5" customHeight="1">
      <c r="Q53" s="510"/>
      <c r="R53" s="510"/>
      <c r="S53" s="511"/>
      <c r="T53" s="517"/>
      <c r="U53" s="510"/>
      <c r="V53" s="510"/>
      <c r="W53" s="510"/>
      <c r="X53" s="512"/>
      <c r="Y53" s="510"/>
      <c r="Z53" s="510"/>
      <c r="AA53" s="507"/>
      <c r="AB53" s="507"/>
      <c r="AC53" s="510"/>
      <c r="AD53" s="510"/>
      <c r="AE53" s="510"/>
      <c r="AF53" s="513"/>
    </row>
    <row r="54" spans="17:32" ht="19.5" customHeight="1">
      <c r="Q54" s="510"/>
      <c r="R54" s="510"/>
      <c r="S54" s="416"/>
      <c r="T54" s="507"/>
      <c r="U54" s="510"/>
      <c r="V54" s="510"/>
      <c r="W54" s="510"/>
      <c r="X54" s="512"/>
      <c r="Y54" s="510"/>
      <c r="Z54" s="518" t="s">
        <v>243</v>
      </c>
      <c r="AA54" s="519">
        <f>$Z$197-1</f>
        <v>-0.75</v>
      </c>
      <c r="AB54" s="507"/>
      <c r="AC54" s="518" t="s">
        <v>244</v>
      </c>
      <c r="AD54" s="520">
        <f>$AB$197-1</f>
        <v>-0.8115987271075358</v>
      </c>
      <c r="AE54" s="510"/>
      <c r="AF54" s="513"/>
    </row>
    <row r="55" spans="17:32" ht="19.5" customHeight="1">
      <c r="Q55" s="510"/>
      <c r="R55" s="510"/>
      <c r="S55" s="511"/>
      <c r="T55" s="507"/>
      <c r="U55" s="510"/>
      <c r="V55" s="510"/>
      <c r="W55" s="510"/>
      <c r="X55" s="512"/>
      <c r="Y55" s="510"/>
      <c r="Z55" s="535" t="s">
        <v>245</v>
      </c>
      <c r="AA55" s="521">
        <f>M7</f>
        <v>0.8213968865013419</v>
      </c>
      <c r="AB55" s="507"/>
      <c r="AC55" s="535" t="s">
        <v>246</v>
      </c>
      <c r="AD55" s="522">
        <f>N7</f>
        <v>0.9852858422098076</v>
      </c>
      <c r="AE55" s="510"/>
      <c r="AF55" s="513"/>
    </row>
    <row r="56" spans="17:32" ht="19.5" customHeight="1">
      <c r="Q56" s="510"/>
      <c r="R56" s="510"/>
      <c r="S56" s="511"/>
      <c r="T56" s="517"/>
      <c r="U56" s="510"/>
      <c r="V56" s="510"/>
      <c r="W56" s="510"/>
      <c r="X56" s="512"/>
      <c r="Y56" s="510"/>
      <c r="Z56" s="535" t="s">
        <v>247</v>
      </c>
      <c r="AA56" s="521">
        <f>0.25*AA58</f>
        <v>1.25</v>
      </c>
      <c r="AB56" s="507"/>
      <c r="AC56" s="535" t="s">
        <v>247</v>
      </c>
      <c r="AD56" s="522">
        <f>AA56</f>
        <v>1.25</v>
      </c>
      <c r="AE56" s="510"/>
      <c r="AF56" s="513"/>
    </row>
    <row r="57" spans="17:32" ht="19.5" customHeight="1">
      <c r="Q57" s="510"/>
      <c r="R57" s="510"/>
      <c r="S57" s="511"/>
      <c r="T57" s="507"/>
      <c r="U57" s="510"/>
      <c r="V57" s="510"/>
      <c r="W57" s="510"/>
      <c r="X57" s="512"/>
      <c r="Y57" s="510"/>
      <c r="Z57" s="750" t="s">
        <v>248</v>
      </c>
      <c r="AA57" s="751">
        <f>4!D27</f>
        <v>19.67622631920012</v>
      </c>
      <c r="AB57" s="507"/>
      <c r="AC57" s="750" t="s">
        <v>249</v>
      </c>
      <c r="AD57" s="751">
        <f>4!E27</f>
        <v>85.26364738320052</v>
      </c>
      <c r="AE57" s="510"/>
      <c r="AF57" s="513"/>
    </row>
    <row r="58" spans="17:32" ht="19.5" customHeight="1">
      <c r="Q58" s="510"/>
      <c r="R58" s="510"/>
      <c r="S58" s="511"/>
      <c r="T58" s="507"/>
      <c r="U58" s="510"/>
      <c r="V58" s="510"/>
      <c r="W58" s="510"/>
      <c r="X58" s="512"/>
      <c r="Y58" s="510"/>
      <c r="Z58" s="750" t="s">
        <v>558</v>
      </c>
      <c r="AA58" s="751">
        <f>4!D7</f>
        <v>5</v>
      </c>
      <c r="AB58" s="507"/>
      <c r="AC58" s="754" t="s">
        <v>250</v>
      </c>
      <c r="AD58" s="755">
        <f>AA58</f>
        <v>5</v>
      </c>
      <c r="AE58" s="510"/>
      <c r="AF58" s="513"/>
    </row>
    <row r="59" spans="17:32" ht="19.5" customHeight="1">
      <c r="Q59" s="510"/>
      <c r="R59" s="510"/>
      <c r="S59" s="511"/>
      <c r="T59" s="517"/>
      <c r="U59" s="510"/>
      <c r="V59" s="510"/>
      <c r="W59" s="510"/>
      <c r="X59" s="512"/>
      <c r="Y59" s="510"/>
      <c r="Z59" s="510"/>
      <c r="AA59" s="507"/>
      <c r="AB59" s="507"/>
      <c r="AC59" s="510"/>
      <c r="AD59" s="510"/>
      <c r="AE59" s="510"/>
      <c r="AF59" s="513"/>
    </row>
    <row r="60" spans="17:32" ht="19.5" customHeight="1">
      <c r="Q60" s="510"/>
      <c r="R60" s="510"/>
      <c r="S60" s="511"/>
      <c r="T60" s="507"/>
      <c r="U60" s="510"/>
      <c r="V60" s="510"/>
      <c r="W60" s="510"/>
      <c r="X60" s="512"/>
      <c r="Y60" s="510"/>
      <c r="Z60" s="787" t="s">
        <v>251</v>
      </c>
      <c r="AA60" s="519">
        <f>AA62-AA75</f>
        <v>0.5557643742797442</v>
      </c>
      <c r="AB60" s="507"/>
      <c r="AC60" s="787" t="s">
        <v>252</v>
      </c>
      <c r="AD60" s="520">
        <f>AD62-AC75</f>
        <v>0.4075625563150577</v>
      </c>
      <c r="AE60" s="510"/>
      <c r="AF60" s="513"/>
    </row>
    <row r="61" spans="17:32" ht="19.5" customHeight="1">
      <c r="Q61" s="510"/>
      <c r="R61" s="510"/>
      <c r="S61" s="511"/>
      <c r="T61" s="507"/>
      <c r="U61" s="510"/>
      <c r="V61" s="510"/>
      <c r="W61" s="510"/>
      <c r="X61" s="512"/>
      <c r="Y61" s="510"/>
      <c r="Z61" s="510"/>
      <c r="AA61" s="507"/>
      <c r="AB61" s="507"/>
      <c r="AC61" s="510"/>
      <c r="AD61" s="510"/>
      <c r="AE61" s="357"/>
      <c r="AF61" s="1"/>
    </row>
    <row r="62" spans="17:32" ht="19.5" customHeight="1">
      <c r="Q62" s="510"/>
      <c r="R62" s="510"/>
      <c r="S62" s="511"/>
      <c r="T62" s="507"/>
      <c r="U62" s="510"/>
      <c r="V62" s="510"/>
      <c r="W62" s="510"/>
      <c r="X62" s="512"/>
      <c r="Y62" s="510"/>
      <c r="Z62" s="535" t="s">
        <v>253</v>
      </c>
      <c r="AA62" s="521">
        <f>ACOS(AA67/AA69)</f>
        <v>0.5831988001532717</v>
      </c>
      <c r="AC62" s="591" t="s">
        <v>254</v>
      </c>
      <c r="AD62" s="522">
        <f>ACOS(AC67/AC69)</f>
        <v>0.41659797088070727</v>
      </c>
      <c r="AE62" s="510"/>
      <c r="AF62" s="513"/>
    </row>
    <row r="63" spans="17:32" ht="19.5" customHeight="1">
      <c r="Q63" s="510"/>
      <c r="R63" s="510"/>
      <c r="S63" s="507"/>
      <c r="T63" s="507"/>
      <c r="U63" s="510"/>
      <c r="V63" s="510"/>
      <c r="W63" s="510"/>
      <c r="X63" s="512"/>
      <c r="Y63" s="510"/>
      <c r="Z63" s="510"/>
      <c r="AA63" s="507"/>
      <c r="AB63" s="507"/>
      <c r="AC63" s="510"/>
      <c r="AD63" s="510"/>
      <c r="AE63" s="510"/>
      <c r="AF63" s="513"/>
    </row>
    <row r="64" spans="17:32" ht="19.5" customHeight="1">
      <c r="Q64" s="510"/>
      <c r="R64" s="510"/>
      <c r="S64" s="507"/>
      <c r="T64" s="507"/>
      <c r="U64" s="510"/>
      <c r="V64" s="510"/>
      <c r="W64" s="510"/>
      <c r="X64" s="512"/>
      <c r="Y64" s="510"/>
      <c r="Z64" s="510"/>
      <c r="AA64" s="507"/>
      <c r="AB64" s="507"/>
      <c r="AC64" s="510"/>
      <c r="AD64" s="510"/>
      <c r="AE64" s="510"/>
      <c r="AF64" s="513"/>
    </row>
    <row r="65" spans="17:32" ht="19.5" customHeight="1">
      <c r="Q65" s="510"/>
      <c r="R65" s="510"/>
      <c r="S65" s="507"/>
      <c r="T65" s="507"/>
      <c r="U65" s="510"/>
      <c r="V65" s="510"/>
      <c r="W65" s="510"/>
      <c r="X65" s="512"/>
      <c r="Y65" s="510"/>
      <c r="Z65" s="510"/>
      <c r="AA65" s="507"/>
      <c r="AB65" s="507"/>
      <c r="AC65" s="510"/>
      <c r="AD65" s="510"/>
      <c r="AE65" s="510"/>
      <c r="AF65" s="513"/>
    </row>
    <row r="66" spans="17:32" ht="19.5" customHeight="1">
      <c r="Q66" s="510"/>
      <c r="R66" s="510"/>
      <c r="S66" s="507"/>
      <c r="T66" s="416"/>
      <c r="U66" s="510"/>
      <c r="V66" s="510"/>
      <c r="W66" s="510"/>
      <c r="X66" s="512"/>
      <c r="Y66" s="510"/>
      <c r="Z66" s="510"/>
      <c r="AA66" s="507"/>
      <c r="AB66" s="507"/>
      <c r="AC66" s="510"/>
      <c r="AD66" s="510"/>
      <c r="AE66" s="510"/>
      <c r="AF66" s="513"/>
    </row>
    <row r="67" spans="17:32" ht="19.5" customHeight="1">
      <c r="Q67" s="510"/>
      <c r="R67" s="510"/>
      <c r="S67" s="507"/>
      <c r="T67" s="507"/>
      <c r="U67" s="510"/>
      <c r="V67" s="510"/>
      <c r="W67" s="510"/>
      <c r="X67" s="512"/>
      <c r="Y67" s="510"/>
      <c r="Z67" s="504" t="s">
        <v>255</v>
      </c>
      <c r="AA67" s="521">
        <f>AA71*AA51</f>
        <v>92.44802338532914</v>
      </c>
      <c r="AB67" s="523" t="s">
        <v>256</v>
      </c>
      <c r="AC67" s="522">
        <f>AC71*AA51</f>
        <v>400.60810133642633</v>
      </c>
      <c r="AD67" s="510"/>
      <c r="AE67" s="510"/>
      <c r="AF67" s="513"/>
    </row>
    <row r="68" spans="17:32" ht="19.5" customHeight="1">
      <c r="Q68" s="510"/>
      <c r="R68" s="510"/>
      <c r="S68" s="416"/>
      <c r="T68" s="507"/>
      <c r="U68" s="510"/>
      <c r="V68" s="510"/>
      <c r="W68" s="510"/>
      <c r="X68" s="512"/>
      <c r="Y68" s="510"/>
      <c r="Z68" s="510"/>
      <c r="AA68" s="507"/>
      <c r="AB68" s="507"/>
      <c r="AC68" s="510"/>
      <c r="AD68" s="510"/>
      <c r="AE68" s="510"/>
      <c r="AF68" s="513"/>
    </row>
    <row r="69" spans="17:32" ht="19.5" customHeight="1">
      <c r="Q69" s="510"/>
      <c r="R69" s="510"/>
      <c r="S69" s="511"/>
      <c r="T69" s="507"/>
      <c r="U69" s="510"/>
      <c r="V69" s="510"/>
      <c r="W69" s="510"/>
      <c r="X69" s="512"/>
      <c r="Y69" s="510"/>
      <c r="Z69" s="504" t="s">
        <v>257</v>
      </c>
      <c r="AA69" s="521">
        <f>AA71+AA72-AA73</f>
        <v>110.75527777614259</v>
      </c>
      <c r="AB69" s="523" t="s">
        <v>258</v>
      </c>
      <c r="AC69" s="522">
        <f>AC71+AC72-AC73</f>
        <v>438.0763958250692</v>
      </c>
      <c r="AD69" s="510"/>
      <c r="AE69" s="510"/>
      <c r="AF69" s="513"/>
    </row>
    <row r="70" spans="17:32" ht="19.5" customHeight="1">
      <c r="Q70" s="510"/>
      <c r="R70" s="510"/>
      <c r="S70" s="511"/>
      <c r="T70" s="507"/>
      <c r="U70" s="510"/>
      <c r="V70" s="510"/>
      <c r="W70" s="510"/>
      <c r="X70" s="512"/>
      <c r="Y70" s="510"/>
      <c r="Z70" s="510"/>
      <c r="AA70" s="507"/>
      <c r="AB70" s="754" t="s">
        <v>591</v>
      </c>
      <c r="AC70" s="755">
        <f>TAN(20*PI()/180)</f>
        <v>0.36397023426620234</v>
      </c>
      <c r="AE70" s="510"/>
      <c r="AF70" s="513"/>
    </row>
    <row r="71" spans="17:32" ht="19.5" customHeight="1">
      <c r="Q71" s="510"/>
      <c r="R71" s="510"/>
      <c r="S71" s="416"/>
      <c r="T71" s="507"/>
      <c r="U71" s="510"/>
      <c r="V71" s="510"/>
      <c r="W71" s="510"/>
      <c r="X71" s="512"/>
      <c r="Y71" s="510"/>
      <c r="Z71" s="504" t="s">
        <v>260</v>
      </c>
      <c r="AA71" s="521">
        <f>AA58*AA57</f>
        <v>98.38113159600059</v>
      </c>
      <c r="AB71" s="523" t="s">
        <v>261</v>
      </c>
      <c r="AC71" s="522">
        <f>AA58*AD57</f>
        <v>426.3182369160026</v>
      </c>
      <c r="AD71" s="510"/>
      <c r="AE71" s="510"/>
      <c r="AF71" s="513"/>
    </row>
    <row r="72" spans="17:32" ht="19.5" customHeight="1">
      <c r="Q72" s="510"/>
      <c r="R72" s="510"/>
      <c r="S72" s="511"/>
      <c r="T72" s="507"/>
      <c r="U72" s="510"/>
      <c r="V72" s="510"/>
      <c r="W72" s="510"/>
      <c r="X72" s="512"/>
      <c r="Y72" s="510"/>
      <c r="Z72" s="750" t="s">
        <v>559</v>
      </c>
      <c r="AA72" s="751">
        <f>4!D31</f>
        <v>105.32574138469202</v>
      </c>
      <c r="AB72" s="750" t="s">
        <v>560</v>
      </c>
      <c r="AC72" s="751">
        <f>4!E31</f>
        <v>414.54840479545</v>
      </c>
      <c r="AD72" s="510"/>
      <c r="AE72" s="510"/>
      <c r="AF72" s="513"/>
    </row>
    <row r="73" spans="17:32" ht="19.5" customHeight="1">
      <c r="Q73" s="510"/>
      <c r="R73" s="510"/>
      <c r="S73" s="416"/>
      <c r="T73" s="507"/>
      <c r="U73" s="510"/>
      <c r="V73" s="510"/>
      <c r="W73" s="510"/>
      <c r="X73" s="512"/>
      <c r="Y73" s="510"/>
      <c r="Z73" s="750" t="s">
        <v>561</v>
      </c>
      <c r="AA73" s="751">
        <f>4!D30</f>
        <v>92.95159520455</v>
      </c>
      <c r="AB73" s="750" t="s">
        <v>562</v>
      </c>
      <c r="AC73" s="751">
        <f>4!E30</f>
        <v>402.79024588638333</v>
      </c>
      <c r="AD73" s="510"/>
      <c r="AE73" s="510"/>
      <c r="AF73" s="513"/>
    </row>
    <row r="74" spans="17:32" ht="19.5" customHeight="1">
      <c r="Q74" s="510"/>
      <c r="R74" s="510"/>
      <c r="S74" s="511"/>
      <c r="T74" s="507"/>
      <c r="U74" s="510"/>
      <c r="V74" s="510"/>
      <c r="W74" s="510"/>
      <c r="X74" s="512"/>
      <c r="Y74" s="510"/>
      <c r="Z74" s="750" t="s">
        <v>564</v>
      </c>
      <c r="AA74" s="751">
        <f>4!D29</f>
        <v>0.25</v>
      </c>
      <c r="AB74" s="750" t="s">
        <v>563</v>
      </c>
      <c r="AC74" s="752">
        <f>4!E29</f>
        <v>0.18840127289246428</v>
      </c>
      <c r="AD74" s="510"/>
      <c r="AE74" s="510"/>
      <c r="AF74" s="513"/>
    </row>
    <row r="75" spans="17:32" ht="19.5" customHeight="1">
      <c r="Q75" s="510"/>
      <c r="R75" s="510"/>
      <c r="S75" s="416"/>
      <c r="T75" s="507"/>
      <c r="U75" s="510"/>
      <c r="V75" s="510"/>
      <c r="W75" s="510"/>
      <c r="X75" s="512"/>
      <c r="Y75" s="510"/>
      <c r="Z75" s="535" t="s">
        <v>265</v>
      </c>
      <c r="AA75" s="521">
        <f>1/AA57*(PI()/2+2*AA74*AC70)+AA77-AA78</f>
        <v>0.0274344258735275</v>
      </c>
      <c r="AB75" s="591" t="s">
        <v>266</v>
      </c>
      <c r="AC75" s="522">
        <f>1/AD57*(PI()/2+2*AC74*AC70)+AA77-AC78</f>
        <v>0.009035414565649533</v>
      </c>
      <c r="AD75" s="510"/>
      <c r="AE75" s="510"/>
      <c r="AF75" s="513"/>
    </row>
    <row r="76" spans="17:32" ht="19.5" customHeight="1">
      <c r="Q76" s="510"/>
      <c r="R76" s="510"/>
      <c r="S76" s="511"/>
      <c r="T76" s="507"/>
      <c r="U76" s="510"/>
      <c r="V76" s="510"/>
      <c r="W76" s="510"/>
      <c r="X76" s="512"/>
      <c r="Y76" s="510"/>
      <c r="Z76" s="510"/>
      <c r="AA76" s="507"/>
      <c r="AB76" s="507"/>
      <c r="AC76" s="510"/>
      <c r="AD76" s="510"/>
      <c r="AE76" s="510"/>
      <c r="AF76" s="513"/>
    </row>
    <row r="77" spans="17:32" ht="19.5" customHeight="1">
      <c r="Q77" s="510"/>
      <c r="R77" s="510"/>
      <c r="S77" s="511"/>
      <c r="T77" s="507"/>
      <c r="U77" s="510"/>
      <c r="V77" s="510"/>
      <c r="W77" s="510"/>
      <c r="X77" s="512"/>
      <c r="Y77" s="510"/>
      <c r="Z77" s="522" t="s">
        <v>267</v>
      </c>
      <c r="AA77" s="525">
        <f>AC70-(PI()*20/180)</f>
        <v>0.014904383867336446</v>
      </c>
      <c r="AB77" s="507"/>
      <c r="AC77" s="510"/>
      <c r="AD77" s="510"/>
      <c r="AE77" s="510"/>
      <c r="AF77" s="513"/>
    </row>
    <row r="78" spans="17:32" ht="19.5" customHeight="1">
      <c r="Q78" s="510"/>
      <c r="R78" s="510"/>
      <c r="S78" s="511"/>
      <c r="T78" s="416"/>
      <c r="U78" s="510"/>
      <c r="V78" s="510"/>
      <c r="W78" s="510"/>
      <c r="X78" s="512"/>
      <c r="Y78" s="510"/>
      <c r="Z78" s="522" t="s">
        <v>268</v>
      </c>
      <c r="AA78" s="525">
        <f>TAN(AA62)-AA62</f>
        <v>0.07655113725518126</v>
      </c>
      <c r="AB78" s="523" t="s">
        <v>269</v>
      </c>
      <c r="AC78" s="524">
        <f>TAN(AD62)-AD62</f>
        <v>0.025900263881196706</v>
      </c>
      <c r="AD78" s="510"/>
      <c r="AE78" s="510"/>
      <c r="AF78" s="513"/>
    </row>
    <row r="79" spans="17:32" ht="19.5" customHeight="1">
      <c r="Q79" s="510"/>
      <c r="R79" s="510"/>
      <c r="S79" s="511"/>
      <c r="T79" s="507"/>
      <c r="U79" s="510"/>
      <c r="V79" s="510"/>
      <c r="W79" s="510"/>
      <c r="X79" s="512"/>
      <c r="Y79" s="510"/>
      <c r="Z79" s="510"/>
      <c r="AA79" s="507"/>
      <c r="AB79" s="507"/>
      <c r="AC79" s="510"/>
      <c r="AD79" s="510"/>
      <c r="AE79" s="510"/>
      <c r="AF79" s="513"/>
    </row>
    <row r="80" spans="17:32" ht="19.5" customHeight="1">
      <c r="Q80" s="510"/>
      <c r="R80" s="510"/>
      <c r="S80" s="511"/>
      <c r="U80" s="510"/>
      <c r="V80" s="510"/>
      <c r="W80" s="510"/>
      <c r="X80" s="512"/>
      <c r="Y80" s="510"/>
      <c r="Z80" s="510"/>
      <c r="AA80" s="507"/>
      <c r="AB80" s="507"/>
      <c r="AC80" s="510"/>
      <c r="AD80" s="510"/>
      <c r="AE80" s="510"/>
      <c r="AF80" s="513"/>
    </row>
    <row r="81" spans="17:32" ht="19.5" customHeight="1">
      <c r="Q81" s="510"/>
      <c r="R81" s="510"/>
      <c r="S81" s="416"/>
      <c r="T81" s="507"/>
      <c r="U81" s="510"/>
      <c r="V81" s="510"/>
      <c r="W81" s="510"/>
      <c r="X81" s="512"/>
      <c r="Y81" s="510"/>
      <c r="Z81" s="510"/>
      <c r="AA81" s="507"/>
      <c r="AB81" s="507"/>
      <c r="AC81" s="510"/>
      <c r="AD81" s="510"/>
      <c r="AE81" s="510"/>
      <c r="AF81" s="513"/>
    </row>
    <row r="82" spans="17:32" ht="19.5" customHeight="1">
      <c r="Q82" s="510"/>
      <c r="R82" s="510"/>
      <c r="T82" s="526" t="str">
        <f>H22</f>
        <v>Yük dağılma faktörü</v>
      </c>
      <c r="U82" s="527"/>
      <c r="V82" s="528" t="s">
        <v>56</v>
      </c>
      <c r="W82" s="510"/>
      <c r="X82" s="512"/>
      <c r="AA82" s="507"/>
      <c r="AE82" s="510"/>
      <c r="AF82" s="513"/>
    </row>
    <row r="83" spans="17:32" ht="19.5" customHeight="1" thickBot="1">
      <c r="Q83" s="510"/>
      <c r="R83" s="510"/>
      <c r="S83" s="511"/>
      <c r="T83" s="507"/>
      <c r="U83" s="510"/>
      <c r="V83" s="510"/>
      <c r="W83" s="529" t="s">
        <v>270</v>
      </c>
      <c r="X83" s="730">
        <f>E7</f>
        <v>11321.415901988605</v>
      </c>
      <c r="Y83" s="750" t="s">
        <v>271</v>
      </c>
      <c r="Z83" s="751">
        <f>4!E9</f>
        <v>105</v>
      </c>
      <c r="AA83" s="507"/>
      <c r="AB83" s="507"/>
      <c r="AC83" s="510"/>
      <c r="AD83" s="510"/>
      <c r="AE83" s="510"/>
      <c r="AF83" s="513"/>
    </row>
    <row r="84" spans="17:32" ht="19.5" customHeight="1" thickBot="1">
      <c r="Q84" s="510"/>
      <c r="R84" s="510"/>
      <c r="S84" s="511"/>
      <c r="T84" s="507"/>
      <c r="U84" s="510"/>
      <c r="V84" s="510"/>
      <c r="W84" s="504" t="s">
        <v>272</v>
      </c>
      <c r="X84" s="537">
        <f>X83*AA94*AD94</f>
        <v>17546.747359562924</v>
      </c>
      <c r="AA84" s="507"/>
      <c r="AB84" s="507"/>
      <c r="AC84" s="530" t="s">
        <v>273</v>
      </c>
      <c r="AD84" s="531">
        <f>IF(Y86&gt;2,Y86,IF(Y90&lt;2,Y90,"?"))</f>
        <v>2.3470257168534507</v>
      </c>
      <c r="AE84" s="520"/>
      <c r="AF84" s="532"/>
    </row>
    <row r="85" spans="17:32" ht="19.5" customHeight="1">
      <c r="Q85" s="510"/>
      <c r="R85" s="510"/>
      <c r="S85" s="511"/>
      <c r="T85" s="521" t="s">
        <v>274</v>
      </c>
      <c r="U85" s="510"/>
      <c r="V85" s="510"/>
      <c r="W85" s="510"/>
      <c r="X85" s="512"/>
      <c r="Y85" s="504"/>
      <c r="Z85" s="522"/>
      <c r="AA85" s="507"/>
      <c r="AB85" s="507"/>
      <c r="AC85" s="510"/>
      <c r="AD85" s="510"/>
      <c r="AE85" s="520"/>
      <c r="AF85" s="532"/>
    </row>
    <row r="86" spans="17:32" ht="19.5" customHeight="1">
      <c r="Q86" s="510"/>
      <c r="R86" s="510"/>
      <c r="S86" s="511"/>
      <c r="T86" s="507"/>
      <c r="U86" s="510"/>
      <c r="X86" s="533" t="s">
        <v>275</v>
      </c>
      <c r="Y86" s="534">
        <f>2*(10*W89/(X84/Z83))^0.5</f>
        <v>2.3470257168534507</v>
      </c>
      <c r="AB86" s="507"/>
      <c r="AC86" s="1"/>
      <c r="AD86" s="510"/>
      <c r="AE86" s="520"/>
      <c r="AF86" s="532"/>
    </row>
    <row r="87" spans="17:32" ht="19.5" customHeight="1">
      <c r="Q87" s="510"/>
      <c r="R87" s="510"/>
      <c r="S87" s="511"/>
      <c r="T87" s="507"/>
      <c r="U87" s="510"/>
      <c r="V87" s="504"/>
      <c r="W87" s="522"/>
      <c r="X87" s="533"/>
      <c r="Y87" s="534"/>
      <c r="Z87" s="1"/>
      <c r="AA87" s="1"/>
      <c r="AB87" s="507"/>
      <c r="AC87" s="1"/>
      <c r="AD87" s="510"/>
      <c r="AE87" s="520"/>
      <c r="AF87" s="532"/>
    </row>
    <row r="88" spans="17:32" ht="19.5" customHeight="1">
      <c r="Q88" s="510"/>
      <c r="R88" s="510"/>
      <c r="S88" s="511"/>
      <c r="T88" s="507"/>
      <c r="U88" s="510"/>
      <c r="V88" s="510"/>
      <c r="Z88" s="1"/>
      <c r="AA88" s="1"/>
      <c r="AC88" s="1"/>
      <c r="AD88" s="510"/>
      <c r="AE88" s="520"/>
      <c r="AF88" s="532"/>
    </row>
    <row r="89" spans="17:32" ht="19.5" customHeight="1">
      <c r="Q89" s="510"/>
      <c r="R89" s="510"/>
      <c r="S89" s="511"/>
      <c r="T89" s="521" t="s">
        <v>276</v>
      </c>
      <c r="U89" s="510"/>
      <c r="V89" s="504" t="s">
        <v>277</v>
      </c>
      <c r="W89" s="522">
        <f>AB122</f>
        <v>23.013518867089843</v>
      </c>
      <c r="Z89" s="1"/>
      <c r="AA89" s="1"/>
      <c r="AB89" s="507"/>
      <c r="AC89" s="1"/>
      <c r="AD89" s="510"/>
      <c r="AE89" s="510"/>
      <c r="AF89" s="513"/>
    </row>
    <row r="90" spans="17:32" ht="19.5" customHeight="1">
      <c r="Q90" s="510"/>
      <c r="R90" s="510"/>
      <c r="T90" s="507"/>
      <c r="U90" s="357"/>
      <c r="V90" s="504"/>
      <c r="W90" s="522"/>
      <c r="X90" s="533" t="s">
        <v>278</v>
      </c>
      <c r="Y90" s="534">
        <f>1+10*W89/(X84/Z83)</f>
        <v>2.377132428892864</v>
      </c>
      <c r="Z90" s="1"/>
      <c r="AA90" s="1"/>
      <c r="AC90" s="1"/>
      <c r="AD90" s="510"/>
      <c r="AE90" s="510"/>
      <c r="AF90" s="513"/>
    </row>
    <row r="91" spans="17:32" ht="19.5" customHeight="1">
      <c r="Q91" s="510"/>
      <c r="R91" s="510"/>
      <c r="S91" s="511"/>
      <c r="T91" s="507"/>
      <c r="U91" s="510"/>
      <c r="V91" s="504"/>
      <c r="W91" s="522"/>
      <c r="X91" s="533"/>
      <c r="Y91" s="534"/>
      <c r="Z91" s="1"/>
      <c r="AA91" s="1"/>
      <c r="AB91" s="507"/>
      <c r="AC91" s="1"/>
      <c r="AD91" s="510"/>
      <c r="AE91" s="510"/>
      <c r="AF91" s="513"/>
    </row>
    <row r="92" spans="17:32" ht="19.5" customHeight="1">
      <c r="Q92" s="510"/>
      <c r="R92" s="510"/>
      <c r="S92" s="511"/>
      <c r="T92" s="507"/>
      <c r="U92" s="510"/>
      <c r="V92" s="510"/>
      <c r="Z92" s="1"/>
      <c r="AA92" s="1"/>
      <c r="AB92" s="507"/>
      <c r="AC92" s="510"/>
      <c r="AD92" s="510"/>
      <c r="AE92" s="510"/>
      <c r="AF92" s="513"/>
    </row>
    <row r="93" spans="17:32" ht="19.5" customHeight="1" thickBot="1">
      <c r="Q93" s="510"/>
      <c r="R93" s="510"/>
      <c r="S93" s="511"/>
      <c r="T93" s="507"/>
      <c r="U93" s="510"/>
      <c r="V93" s="510"/>
      <c r="Y93" s="1"/>
      <c r="AB93" s="507"/>
      <c r="AC93" s="510"/>
      <c r="AD93" s="510"/>
      <c r="AE93" s="510"/>
      <c r="AF93" s="513"/>
    </row>
    <row r="94" spans="17:32" ht="19.5" customHeight="1" thickBot="1">
      <c r="Q94" s="510"/>
      <c r="R94" s="510"/>
      <c r="S94" s="511"/>
      <c r="T94" s="727" t="s">
        <v>553</v>
      </c>
      <c r="U94" s="510"/>
      <c r="V94" s="510"/>
      <c r="W94" s="510"/>
      <c r="X94" s="512"/>
      <c r="Z94" s="754" t="s">
        <v>279</v>
      </c>
      <c r="AA94" s="755">
        <f>'11'!O7</f>
        <v>1.5</v>
      </c>
      <c r="AB94" s="507"/>
      <c r="AC94" s="530" t="s">
        <v>280</v>
      </c>
      <c r="AD94" s="531">
        <f>IF(Y103&gt;1,AA100,AA97)</f>
        <v>1.0332481090980172</v>
      </c>
      <c r="AE94" s="510"/>
      <c r="AF94" s="513"/>
    </row>
    <row r="95" spans="17:32" ht="19.5" customHeight="1">
      <c r="Q95" s="510"/>
      <c r="R95" s="510"/>
      <c r="S95" s="511"/>
      <c r="U95" s="510"/>
      <c r="V95" s="510"/>
      <c r="W95" s="510"/>
      <c r="X95" s="512"/>
      <c r="Y95" s="510"/>
      <c r="Z95" s="510"/>
      <c r="AA95" s="507"/>
      <c r="AB95" s="507"/>
      <c r="AC95" s="510"/>
      <c r="AD95" s="510"/>
      <c r="AE95" s="510"/>
      <c r="AF95" s="513"/>
    </row>
    <row r="96" spans="17:32" ht="19.5" customHeight="1">
      <c r="Q96" s="510"/>
      <c r="R96" s="510"/>
      <c r="S96" s="507"/>
      <c r="T96" s="416"/>
      <c r="U96" s="510"/>
      <c r="V96" s="510"/>
      <c r="W96" s="510"/>
      <c r="X96" s="510"/>
      <c r="Y96" s="510"/>
      <c r="Z96" s="510"/>
      <c r="AA96" s="507"/>
      <c r="AB96" s="507"/>
      <c r="AC96" s="510"/>
      <c r="AD96" s="510"/>
      <c r="AE96" s="510"/>
      <c r="AF96" s="513"/>
    </row>
    <row r="97" spans="17:32" ht="19.5" customHeight="1">
      <c r="Q97" s="510"/>
      <c r="R97" s="510"/>
      <c r="T97" s="507"/>
      <c r="U97" s="510"/>
      <c r="V97" s="510"/>
      <c r="W97" s="510"/>
      <c r="X97" s="510"/>
      <c r="Y97" s="510"/>
      <c r="Z97" s="504" t="s">
        <v>281</v>
      </c>
      <c r="AA97" s="521">
        <f>1+(1.123*AA108/AA94/(X83/AA105)+0.0193)*AA103</f>
        <v>1.0354498631112425</v>
      </c>
      <c r="AB97" s="507"/>
      <c r="AC97" s="510"/>
      <c r="AD97" s="510"/>
      <c r="AE97" s="510"/>
      <c r="AF97" s="513"/>
    </row>
    <row r="98" spans="17:32" ht="19.5" customHeight="1">
      <c r="Q98" s="510"/>
      <c r="R98" s="510"/>
      <c r="S98" s="507"/>
      <c r="T98" s="727" t="s">
        <v>358</v>
      </c>
      <c r="U98" s="510"/>
      <c r="V98" s="510"/>
      <c r="W98" s="510"/>
      <c r="X98" s="510"/>
      <c r="Y98" s="510"/>
      <c r="Z98" s="510"/>
      <c r="AA98" s="521"/>
      <c r="AB98" s="507"/>
      <c r="AC98" s="510"/>
      <c r="AD98" s="510"/>
      <c r="AE98" s="510"/>
      <c r="AF98" s="513"/>
    </row>
    <row r="99" spans="17:32" ht="19.5" customHeight="1">
      <c r="Q99" s="510"/>
      <c r="R99" s="510"/>
      <c r="S99" s="507"/>
      <c r="T99" s="507"/>
      <c r="U99" s="510"/>
      <c r="V99" s="510"/>
      <c r="W99" s="510"/>
      <c r="X99" s="510"/>
      <c r="Y99" s="510"/>
      <c r="Z99" s="510"/>
      <c r="AA99" s="521"/>
      <c r="AB99" s="507"/>
      <c r="AC99" s="510"/>
      <c r="AD99" s="510"/>
      <c r="AE99" s="510"/>
      <c r="AF99" s="513"/>
    </row>
    <row r="100" spans="17:32" ht="19.5" customHeight="1">
      <c r="Q100" s="510"/>
      <c r="R100" s="510"/>
      <c r="T100" s="416"/>
      <c r="U100" s="510"/>
      <c r="V100" s="510"/>
      <c r="W100" s="510"/>
      <c r="X100" s="510"/>
      <c r="Y100" s="510"/>
      <c r="Z100" s="504" t="s">
        <v>282</v>
      </c>
      <c r="AA100" s="521">
        <f>1+(1.123*AA108/AA94/(X83/AA105)+0.0087)*AA103</f>
        <v>1.0332481090980172</v>
      </c>
      <c r="AB100" s="507"/>
      <c r="AC100" s="510"/>
      <c r="AD100" s="510"/>
      <c r="AE100" s="510"/>
      <c r="AF100" s="513"/>
    </row>
    <row r="101" spans="17:32" ht="19.5" customHeight="1">
      <c r="Q101" s="510"/>
      <c r="R101" s="510"/>
      <c r="S101" s="507"/>
      <c r="T101" s="507"/>
      <c r="U101" s="510"/>
      <c r="V101" s="510"/>
      <c r="W101" s="510"/>
      <c r="X101" s="510"/>
      <c r="Y101" s="510"/>
      <c r="Z101" s="510"/>
      <c r="AA101" s="521"/>
      <c r="AB101" s="507"/>
      <c r="AC101" s="510"/>
      <c r="AD101" s="510"/>
      <c r="AE101" s="510"/>
      <c r="AF101" s="513"/>
    </row>
    <row r="102" spans="17:32" ht="19.5" customHeight="1">
      <c r="Q102" s="510"/>
      <c r="R102" s="510"/>
      <c r="S102" s="507"/>
      <c r="T102" s="507"/>
      <c r="U102" s="510"/>
      <c r="V102" s="510"/>
      <c r="W102" s="510"/>
      <c r="Z102" s="510"/>
      <c r="AA102" s="521"/>
      <c r="AB102" s="507"/>
      <c r="AC102" s="510"/>
      <c r="AD102" s="510"/>
      <c r="AE102" s="510"/>
      <c r="AF102" s="513"/>
    </row>
    <row r="103" spans="17:32" ht="19.5" customHeight="1">
      <c r="Q103" s="510"/>
      <c r="R103" s="510"/>
      <c r="S103" s="507"/>
      <c r="T103" s="416"/>
      <c r="U103" s="510"/>
      <c r="V103" s="510"/>
      <c r="W103" s="510"/>
      <c r="X103" s="753" t="s">
        <v>565</v>
      </c>
      <c r="Y103" s="751">
        <f>4!D10</f>
        <v>14.4775</v>
      </c>
      <c r="Z103" s="769" t="s">
        <v>284</v>
      </c>
      <c r="AA103" s="755">
        <f>0.01*1!F11*Y105*(AD103^2/(1+AD103^2))^0.5</f>
        <v>0.2077126427571134</v>
      </c>
      <c r="AB103" s="507"/>
      <c r="AC103" s="504" t="s">
        <v>286</v>
      </c>
      <c r="AD103" s="522">
        <f>K10</f>
        <v>4.333333333333333</v>
      </c>
      <c r="AE103" s="510"/>
      <c r="AF103" s="513"/>
    </row>
    <row r="104" spans="17:32" ht="19.5" customHeight="1">
      <c r="Q104" s="510"/>
      <c r="R104" s="510"/>
      <c r="S104" s="507"/>
      <c r="T104" s="507"/>
      <c r="U104" s="510"/>
      <c r="V104" s="510"/>
      <c r="W104" s="510"/>
      <c r="X104" s="750" t="s">
        <v>575</v>
      </c>
      <c r="Y104" s="751">
        <f>4!D6</f>
        <v>18</v>
      </c>
      <c r="Z104" s="510"/>
      <c r="AA104" s="507"/>
      <c r="AB104" s="507"/>
      <c r="AC104" s="510"/>
      <c r="AD104" s="510"/>
      <c r="AE104" s="510"/>
      <c r="AF104" s="513"/>
    </row>
    <row r="105" spans="17:32" ht="19.5" customHeight="1">
      <c r="Q105" s="510"/>
      <c r="R105" s="510"/>
      <c r="S105" s="507"/>
      <c r="T105" s="536"/>
      <c r="U105" s="537"/>
      <c r="V105" s="536"/>
      <c r="W105" s="537"/>
      <c r="X105" s="773" t="s">
        <v>285</v>
      </c>
      <c r="Y105" s="768">
        <f>Y106/60/10^3*PI()*AA73</f>
        <v>1.7764309625239045</v>
      </c>
      <c r="Z105" s="754" t="s">
        <v>271</v>
      </c>
      <c r="AA105" s="755">
        <f>Z83</f>
        <v>105</v>
      </c>
      <c r="AD105" s="504"/>
      <c r="AE105" s="510"/>
      <c r="AF105" s="513"/>
    </row>
    <row r="106" spans="17:32" ht="19.5" customHeight="1">
      <c r="Q106" s="510"/>
      <c r="R106" s="510"/>
      <c r="S106" s="507"/>
      <c r="T106" s="507"/>
      <c r="U106" s="510"/>
      <c r="V106" s="510"/>
      <c r="W106" s="148"/>
      <c r="X106" s="775" t="s">
        <v>576</v>
      </c>
      <c r="Y106" s="522">
        <f>1!G5</f>
        <v>365</v>
      </c>
      <c r="Z106" s="510" t="s">
        <v>577</v>
      </c>
      <c r="AA106" s="507"/>
      <c r="AB106" s="507"/>
      <c r="AC106" s="510"/>
      <c r="AD106" s="504"/>
      <c r="AE106" s="510"/>
      <c r="AF106" s="513"/>
    </row>
    <row r="107" spans="17:32" ht="19.5" customHeight="1">
      <c r="Q107" s="510"/>
      <c r="R107" s="510"/>
      <c r="S107" s="507"/>
      <c r="T107" s="507"/>
      <c r="U107" s="510"/>
      <c r="V107" s="510"/>
      <c r="W107" s="148"/>
      <c r="X107" s="148"/>
      <c r="Y107" s="148"/>
      <c r="Z107" s="148"/>
      <c r="AA107" s="148"/>
      <c r="AB107" s="507"/>
      <c r="AC107" s="510"/>
      <c r="AD107" s="510"/>
      <c r="AE107" s="510"/>
      <c r="AF107" s="513"/>
    </row>
    <row r="108" spans="17:32" ht="19.5" customHeight="1">
      <c r="Q108" s="510"/>
      <c r="R108" s="510"/>
      <c r="S108" s="507"/>
      <c r="T108" s="507"/>
      <c r="U108" s="510"/>
      <c r="V108" s="510"/>
      <c r="W108" s="771" t="s">
        <v>3</v>
      </c>
      <c r="X108" s="772">
        <f>1!O22</f>
        <v>8</v>
      </c>
      <c r="Y108" s="510"/>
      <c r="Z108" s="504" t="s">
        <v>287</v>
      </c>
      <c r="AA108" s="521">
        <f>IF(X108&lt;6.5,V110,IF(X108&lt;7.5,W110,IF(X108&lt;8.5,X110,IF(X108&lt;9.5,Y110,IF(X108&lt;10.5,Z110,IF(X108&lt;11.5,AA110,AB110))))))</f>
        <v>21.8</v>
      </c>
      <c r="AB108" s="507"/>
      <c r="AC108" s="510"/>
      <c r="AD108" s="510"/>
      <c r="AE108" s="510"/>
      <c r="AF108" s="513"/>
    </row>
    <row r="109" spans="17:32" ht="19.5" customHeight="1">
      <c r="Q109" s="510"/>
      <c r="R109" s="510"/>
      <c r="S109" s="507"/>
      <c r="T109" s="880" t="s">
        <v>288</v>
      </c>
      <c r="U109" s="880"/>
      <c r="V109" s="437">
        <v>6</v>
      </c>
      <c r="W109" s="545">
        <v>7</v>
      </c>
      <c r="X109" s="545">
        <v>8</v>
      </c>
      <c r="Y109" s="437">
        <v>9</v>
      </c>
      <c r="Z109" s="437">
        <v>10</v>
      </c>
      <c r="AA109" s="538">
        <v>11</v>
      </c>
      <c r="AB109" s="539">
        <v>12</v>
      </c>
      <c r="AC109" s="510"/>
      <c r="AD109" s="510"/>
      <c r="AE109" s="510"/>
      <c r="AF109" s="513"/>
    </row>
    <row r="110" spans="17:32" ht="19.5" customHeight="1">
      <c r="Q110" s="510"/>
      <c r="R110" s="510"/>
      <c r="S110" s="507"/>
      <c r="T110" s="880" t="s">
        <v>289</v>
      </c>
      <c r="U110" s="880"/>
      <c r="V110" s="437">
        <v>8.5</v>
      </c>
      <c r="W110" s="437">
        <v>13.6</v>
      </c>
      <c r="X110" s="437">
        <v>21.8</v>
      </c>
      <c r="Y110" s="437">
        <v>30.7</v>
      </c>
      <c r="Z110" s="437">
        <v>47.7</v>
      </c>
      <c r="AA110" s="538">
        <v>68.2</v>
      </c>
      <c r="AB110" s="539">
        <v>109.1</v>
      </c>
      <c r="AC110" s="510"/>
      <c r="AD110" s="510"/>
      <c r="AE110" s="510"/>
      <c r="AF110" s="513"/>
    </row>
    <row r="111" spans="17:32" ht="19.5" customHeight="1">
      <c r="Q111" s="510"/>
      <c r="R111" s="510"/>
      <c r="S111" s="507"/>
      <c r="T111" s="507"/>
      <c r="U111" s="510"/>
      <c r="V111" s="510"/>
      <c r="W111" s="510"/>
      <c r="X111" s="510"/>
      <c r="Y111" s="510"/>
      <c r="Z111" s="510"/>
      <c r="AA111" s="507"/>
      <c r="AB111" s="507"/>
      <c r="AC111" s="510"/>
      <c r="AD111" s="510"/>
      <c r="AE111" s="510"/>
      <c r="AF111" s="513"/>
    </row>
    <row r="112" spans="17:32" ht="19.5" customHeight="1">
      <c r="Q112" s="510"/>
      <c r="R112" s="510"/>
      <c r="S112" s="507"/>
      <c r="T112" s="507"/>
      <c r="U112" s="510"/>
      <c r="V112" s="510"/>
      <c r="W112" s="504" t="s">
        <v>3</v>
      </c>
      <c r="X112" s="537">
        <f>X108</f>
        <v>8</v>
      </c>
      <c r="Y112" s="148"/>
      <c r="Z112" s="504" t="s">
        <v>290</v>
      </c>
      <c r="AA112" s="521">
        <f>IF(X112&lt;5.5,V114,IF(X112&lt;6.5,W114,IF(X112&lt;7.5,X114,IF(X112&lt;8.5,Y114,IF(X112&lt;9.5,Z114,IF(X112&lt;10.5,AA114,IF(X112&lt;11.5,AB114,AC114)))))))</f>
        <v>2.59</v>
      </c>
      <c r="AD112" s="510"/>
      <c r="AE112" s="510"/>
      <c r="AF112" s="513"/>
    </row>
    <row r="113" spans="17:32" ht="19.5" customHeight="1">
      <c r="Q113" s="510"/>
      <c r="R113" s="510"/>
      <c r="S113" s="507"/>
      <c r="T113" s="910" t="s">
        <v>288</v>
      </c>
      <c r="U113" s="929"/>
      <c r="V113" s="437">
        <v>5</v>
      </c>
      <c r="W113" s="437">
        <v>6</v>
      </c>
      <c r="X113" s="437">
        <v>7</v>
      </c>
      <c r="Y113" s="437">
        <v>8</v>
      </c>
      <c r="Z113" s="437">
        <v>9</v>
      </c>
      <c r="AA113" s="538">
        <v>10</v>
      </c>
      <c r="AB113" s="539">
        <v>11</v>
      </c>
      <c r="AC113" s="437">
        <v>12</v>
      </c>
      <c r="AD113" s="510"/>
      <c r="AE113" s="510"/>
      <c r="AF113" s="513"/>
    </row>
    <row r="114" spans="17:32" ht="19.5" customHeight="1">
      <c r="Q114" s="510"/>
      <c r="R114" s="510"/>
      <c r="S114" s="507"/>
      <c r="T114" s="910" t="s">
        <v>291</v>
      </c>
      <c r="U114" s="929"/>
      <c r="V114" s="540">
        <v>1</v>
      </c>
      <c r="W114" s="437">
        <v>1.32</v>
      </c>
      <c r="X114" s="437">
        <v>1.85</v>
      </c>
      <c r="Y114" s="437">
        <v>2.59</v>
      </c>
      <c r="Z114" s="437">
        <v>4.01</v>
      </c>
      <c r="AA114" s="538">
        <v>6.22</v>
      </c>
      <c r="AB114" s="539">
        <v>9.63</v>
      </c>
      <c r="AC114" s="437">
        <v>14.9</v>
      </c>
      <c r="AD114" s="510"/>
      <c r="AE114" s="510"/>
      <c r="AF114" s="513"/>
    </row>
    <row r="115" spans="17:32" ht="19.5" customHeight="1">
      <c r="Q115" s="510"/>
      <c r="R115" s="510"/>
      <c r="S115" s="507"/>
      <c r="W115" s="510"/>
      <c r="X115" s="510"/>
      <c r="Y115" s="510"/>
      <c r="AB115" s="507"/>
      <c r="AC115" s="510"/>
      <c r="AD115" s="510"/>
      <c r="AE115" s="510"/>
      <c r="AF115" s="513"/>
    </row>
    <row r="116" spans="17:32" ht="19.5" customHeight="1">
      <c r="Q116" s="510"/>
      <c r="R116" s="510"/>
      <c r="S116" s="507"/>
      <c r="W116" s="510"/>
      <c r="X116" s="510"/>
      <c r="Y116" s="510"/>
      <c r="AB116" s="507"/>
      <c r="AC116" s="510"/>
      <c r="AD116" s="510"/>
      <c r="AE116" s="510"/>
      <c r="AF116" s="513"/>
    </row>
    <row r="117" spans="17:32" ht="19.5" customHeight="1">
      <c r="Q117" s="510"/>
      <c r="R117" s="510"/>
      <c r="S117" s="507"/>
      <c r="W117" s="510"/>
      <c r="X117" s="510"/>
      <c r="Y117" s="510"/>
      <c r="AB117" s="507"/>
      <c r="AC117" s="510"/>
      <c r="AD117" s="510"/>
      <c r="AE117" s="510"/>
      <c r="AF117" s="513"/>
    </row>
    <row r="118" spans="17:32" ht="19.5" customHeight="1">
      <c r="Q118" s="510"/>
      <c r="R118" s="510"/>
      <c r="S118" s="507"/>
      <c r="W118" s="510"/>
      <c r="X118" s="510"/>
      <c r="Y118" s="510"/>
      <c r="AB118" s="507"/>
      <c r="AC118" s="510"/>
      <c r="AD118" s="510"/>
      <c r="AE118" s="510"/>
      <c r="AF118" s="513"/>
    </row>
    <row r="119" spans="17:32" ht="19.5" customHeight="1">
      <c r="Q119" s="510"/>
      <c r="R119" s="510"/>
      <c r="S119" s="507"/>
      <c r="W119" s="510"/>
      <c r="X119" s="510"/>
      <c r="Y119" s="510"/>
      <c r="AB119" s="507"/>
      <c r="AC119" s="510"/>
      <c r="AD119" s="510"/>
      <c r="AE119" s="510"/>
      <c r="AF119" s="513"/>
    </row>
    <row r="120" spans="17:32" ht="19.5" customHeight="1">
      <c r="Q120" s="510"/>
      <c r="R120" s="510"/>
      <c r="S120" s="507"/>
      <c r="T120" s="523" t="s">
        <v>292</v>
      </c>
      <c r="U120" s="510" t="s">
        <v>293</v>
      </c>
      <c r="V120" s="510"/>
      <c r="W120" s="754" t="s">
        <v>271</v>
      </c>
      <c r="X120" s="755">
        <f>Z83</f>
        <v>105</v>
      </c>
      <c r="Y120" s="510"/>
      <c r="AA120" s="504" t="s">
        <v>292</v>
      </c>
      <c r="AB120" s="521">
        <f>4.16*AA105^0.14*AA112</f>
        <v>20.670910023251484</v>
      </c>
      <c r="AC120" s="510"/>
      <c r="AD120" s="510"/>
      <c r="AE120" s="510"/>
      <c r="AF120" s="513"/>
    </row>
    <row r="121" spans="17:32" ht="19.5" customHeight="1">
      <c r="Q121" s="510"/>
      <c r="R121" s="510"/>
      <c r="S121" s="507"/>
      <c r="T121" s="523" t="s">
        <v>294</v>
      </c>
      <c r="U121" s="510" t="s">
        <v>295</v>
      </c>
      <c r="V121" s="510"/>
      <c r="W121" s="504" t="s">
        <v>296</v>
      </c>
      <c r="X121" s="521">
        <f>IF(Y123&lt;200,AD127,IF(Y123&lt;1000,AD129,AD131))</f>
        <v>8</v>
      </c>
      <c r="Y121" s="510"/>
      <c r="AA121" s="523" t="s">
        <v>294</v>
      </c>
      <c r="AB121" s="521">
        <f>AB120+1.33*X121</f>
        <v>31.310910023251484</v>
      </c>
      <c r="AC121" s="510"/>
      <c r="AD121" s="510"/>
      <c r="AE121" s="510"/>
      <c r="AF121" s="513"/>
    </row>
    <row r="122" spans="17:32" ht="19.5" customHeight="1">
      <c r="Q122" s="510"/>
      <c r="R122" s="510"/>
      <c r="S122" s="507"/>
      <c r="T122" s="523" t="s">
        <v>297</v>
      </c>
      <c r="U122" s="522" t="s">
        <v>298</v>
      </c>
      <c r="V122" s="541"/>
      <c r="W122" s="542" t="s">
        <v>299</v>
      </c>
      <c r="X122" s="543">
        <f>AE136</f>
        <v>8.297391156161643</v>
      </c>
      <c r="Y122" s="542" t="s">
        <v>300</v>
      </c>
      <c r="Z122" s="543">
        <f>AE137</f>
        <v>8.297391156161643</v>
      </c>
      <c r="AA122" s="504" t="s">
        <v>297</v>
      </c>
      <c r="AB122" s="521">
        <f>AB121-AE136</f>
        <v>23.013518867089843</v>
      </c>
      <c r="AC122" s="504"/>
      <c r="AD122" s="521"/>
      <c r="AE122" s="510"/>
      <c r="AF122" s="513"/>
    </row>
    <row r="123" spans="17:32" ht="19.5" customHeight="1">
      <c r="Q123" s="510"/>
      <c r="R123" s="510"/>
      <c r="S123" s="507"/>
      <c r="T123" s="504" t="s">
        <v>301</v>
      </c>
      <c r="U123" s="510" t="s">
        <v>302</v>
      </c>
      <c r="V123" s="510"/>
      <c r="X123" s="504" t="s">
        <v>303</v>
      </c>
      <c r="Y123" s="537">
        <f>X83/AA105</f>
        <v>107.82300859036766</v>
      </c>
      <c r="Z123" s="523"/>
      <c r="AA123" s="522"/>
      <c r="AB123" s="507"/>
      <c r="AC123" s="510"/>
      <c r="AD123" s="510"/>
      <c r="AE123" s="510"/>
      <c r="AF123" s="513"/>
    </row>
    <row r="124" spans="17:32" ht="19.5" customHeight="1">
      <c r="Q124" s="510"/>
      <c r="R124" s="510"/>
      <c r="S124" s="507"/>
      <c r="T124" s="942"/>
      <c r="U124" s="943"/>
      <c r="V124" s="944"/>
      <c r="W124" s="910" t="s">
        <v>304</v>
      </c>
      <c r="X124" s="935"/>
      <c r="Y124" s="935"/>
      <c r="Z124" s="935"/>
      <c r="AA124" s="935"/>
      <c r="AB124" s="935"/>
      <c r="AC124" s="929"/>
      <c r="AD124" s="510"/>
      <c r="AE124" s="510"/>
      <c r="AF124" s="513"/>
    </row>
    <row r="125" spans="17:32" ht="15" customHeight="1">
      <c r="Q125" s="510"/>
      <c r="R125" s="510"/>
      <c r="S125" s="507"/>
      <c r="T125" s="945"/>
      <c r="U125" s="946"/>
      <c r="V125" s="947"/>
      <c r="W125" s="880" t="s">
        <v>305</v>
      </c>
      <c r="X125" s="544" t="s">
        <v>306</v>
      </c>
      <c r="Y125" s="544" t="s">
        <v>307</v>
      </c>
      <c r="Z125" s="544" t="s">
        <v>308</v>
      </c>
      <c r="AA125" s="544" t="s">
        <v>309</v>
      </c>
      <c r="AB125" s="544" t="s">
        <v>310</v>
      </c>
      <c r="AC125" s="544" t="s">
        <v>311</v>
      </c>
      <c r="AD125" s="510"/>
      <c r="AE125" s="510"/>
      <c r="AF125" s="513"/>
    </row>
    <row r="126" spans="17:32" ht="15" customHeight="1">
      <c r="Q126" s="510"/>
      <c r="R126" s="510"/>
      <c r="S126" s="507"/>
      <c r="T126" s="945"/>
      <c r="U126" s="946"/>
      <c r="V126" s="947"/>
      <c r="W126" s="880"/>
      <c r="X126" s="545" t="s">
        <v>312</v>
      </c>
      <c r="Y126" s="545" t="s">
        <v>313</v>
      </c>
      <c r="Z126" s="545" t="s">
        <v>314</v>
      </c>
      <c r="AA126" s="545" t="s">
        <v>315</v>
      </c>
      <c r="AB126" s="545" t="s">
        <v>316</v>
      </c>
      <c r="AC126" s="545"/>
      <c r="AD126" s="510"/>
      <c r="AE126" s="510"/>
      <c r="AF126" s="513"/>
    </row>
    <row r="127" spans="17:32" ht="15" customHeight="1">
      <c r="Q127" s="510"/>
      <c r="R127" s="510"/>
      <c r="S127" s="507"/>
      <c r="T127" s="937" t="s">
        <v>317</v>
      </c>
      <c r="U127" s="938"/>
      <c r="V127" s="939"/>
      <c r="W127" s="940">
        <v>5</v>
      </c>
      <c r="X127" s="940" t="s">
        <v>318</v>
      </c>
      <c r="Y127" s="940">
        <v>7</v>
      </c>
      <c r="Z127" s="940">
        <v>8</v>
      </c>
      <c r="AA127" s="940">
        <v>10</v>
      </c>
      <c r="AB127" s="940">
        <v>12</v>
      </c>
      <c r="AC127" s="940">
        <v>16</v>
      </c>
      <c r="AD127" s="936">
        <f>IF($X$120&lt;20.1,W127,IF($X$120&lt;40.5,X127,IF($X$120&lt;100.5,Y127,IF($X$120&lt;260.5,Z127,IF($X$120&lt;315.5,AA127,IF($X$120&lt;560.5,AB127,AC127))))))</f>
        <v>8</v>
      </c>
      <c r="AE127" s="510"/>
      <c r="AF127" s="513"/>
    </row>
    <row r="128" spans="17:32" ht="15" customHeight="1">
      <c r="Q128" s="510"/>
      <c r="R128" s="510"/>
      <c r="S128" s="507"/>
      <c r="T128" s="937"/>
      <c r="U128" s="938"/>
      <c r="V128" s="939"/>
      <c r="W128" s="941"/>
      <c r="X128" s="941"/>
      <c r="Y128" s="941"/>
      <c r="Z128" s="941"/>
      <c r="AA128" s="941"/>
      <c r="AB128" s="941"/>
      <c r="AC128" s="941"/>
      <c r="AD128" s="936"/>
      <c r="AE128" s="510"/>
      <c r="AF128" s="513"/>
    </row>
    <row r="129" spans="17:32" ht="15" customHeight="1">
      <c r="Q129" s="510"/>
      <c r="R129" s="510"/>
      <c r="S129" s="507"/>
      <c r="T129" s="937" t="s">
        <v>319</v>
      </c>
      <c r="U129" s="938"/>
      <c r="V129" s="939"/>
      <c r="W129" s="940">
        <v>6</v>
      </c>
      <c r="X129" s="940">
        <v>7</v>
      </c>
      <c r="Y129" s="940">
        <v>8</v>
      </c>
      <c r="Z129" s="940">
        <v>11</v>
      </c>
      <c r="AA129" s="940">
        <v>14</v>
      </c>
      <c r="AB129" s="940">
        <v>18</v>
      </c>
      <c r="AC129" s="940">
        <v>24</v>
      </c>
      <c r="AD129" s="936">
        <f>IF($X$120&lt;20.1,W129,IF($X$120&lt;40.5,X129,IF($X$120&lt;100.5,Y129,IF($X$120&lt;260.5,Z129,IF($X$120&lt;315.5,AA129,IF($X$120&lt;560.5,AB129,AC129))))))</f>
        <v>11</v>
      </c>
      <c r="AE129" s="510"/>
      <c r="AF129" s="513"/>
    </row>
    <row r="130" spans="17:32" ht="15" customHeight="1">
      <c r="Q130" s="510"/>
      <c r="R130" s="510"/>
      <c r="S130" s="507"/>
      <c r="T130" s="937"/>
      <c r="U130" s="938"/>
      <c r="V130" s="939"/>
      <c r="W130" s="941"/>
      <c r="X130" s="941"/>
      <c r="Y130" s="941"/>
      <c r="Z130" s="941"/>
      <c r="AA130" s="941"/>
      <c r="AB130" s="941"/>
      <c r="AC130" s="941"/>
      <c r="AD130" s="936"/>
      <c r="AE130" s="510"/>
      <c r="AF130" s="513"/>
    </row>
    <row r="131" spans="17:32" ht="15" customHeight="1">
      <c r="Q131" s="510"/>
      <c r="R131" s="510"/>
      <c r="S131" s="507"/>
      <c r="T131" s="937" t="s">
        <v>320</v>
      </c>
      <c r="U131" s="938"/>
      <c r="V131" s="939"/>
      <c r="W131" s="940">
        <v>10</v>
      </c>
      <c r="X131" s="940">
        <v>13</v>
      </c>
      <c r="Y131" s="940">
        <v>18</v>
      </c>
      <c r="Z131" s="940">
        <v>25</v>
      </c>
      <c r="AA131" s="940">
        <v>30</v>
      </c>
      <c r="AB131" s="940">
        <v>38</v>
      </c>
      <c r="AC131" s="940">
        <v>50</v>
      </c>
      <c r="AD131" s="936">
        <f>IF($X$120&lt;20.1,W131,IF($X$120&lt;40.5,X131,IF($X$120&lt;100.5,Y131,IF($X$120&lt;260.5,Z131,IF($X$120&lt;315.5,AA131,IF($X$120&lt;560.5,AB131,AC131))))))</f>
        <v>25</v>
      </c>
      <c r="AE131" s="510"/>
      <c r="AF131" s="513"/>
    </row>
    <row r="132" spans="17:32" ht="15" customHeight="1">
      <c r="Q132" s="510"/>
      <c r="R132" s="510"/>
      <c r="S132" s="507"/>
      <c r="T132" s="937"/>
      <c r="U132" s="938"/>
      <c r="V132" s="939"/>
      <c r="W132" s="941"/>
      <c r="X132" s="941"/>
      <c r="Y132" s="941"/>
      <c r="Z132" s="941"/>
      <c r="AA132" s="941"/>
      <c r="AB132" s="941"/>
      <c r="AC132" s="941"/>
      <c r="AD132" s="936"/>
      <c r="AE132" s="510"/>
      <c r="AF132" s="513"/>
    </row>
    <row r="133" spans="17:32" ht="19.5" customHeight="1">
      <c r="Q133" s="510"/>
      <c r="R133" s="510"/>
      <c r="S133" s="507"/>
      <c r="T133" s="507"/>
      <c r="U133" s="510"/>
      <c r="X133" s="510"/>
      <c r="Y133" s="510"/>
      <c r="Z133" s="510"/>
      <c r="AA133" s="507"/>
      <c r="AB133" s="507"/>
      <c r="AE133" s="510"/>
      <c r="AF133" s="513"/>
    </row>
    <row r="134" spans="17:32" ht="19.5" customHeight="1">
      <c r="Q134" s="510"/>
      <c r="R134" s="510"/>
      <c r="T134" s="931" t="s">
        <v>99</v>
      </c>
      <c r="U134" s="931" t="s">
        <v>321</v>
      </c>
      <c r="V134" s="933"/>
      <c r="W134" s="910" t="s">
        <v>322</v>
      </c>
      <c r="X134" s="935"/>
      <c r="Y134" s="929"/>
      <c r="Z134" s="148"/>
      <c r="AA134" s="797" t="s">
        <v>600</v>
      </c>
      <c r="AB134" s="770">
        <f>E9</f>
        <v>1100</v>
      </c>
      <c r="AC134" s="797" t="s">
        <v>601</v>
      </c>
      <c r="AD134" s="770">
        <f>F9</f>
        <v>1100</v>
      </c>
      <c r="AE134" s="510"/>
      <c r="AF134" s="513"/>
    </row>
    <row r="135" spans="17:32" ht="19.5" customHeight="1">
      <c r="Q135" s="510"/>
      <c r="R135" s="510"/>
      <c r="T135" s="932"/>
      <c r="U135" s="932"/>
      <c r="V135" s="934"/>
      <c r="W135" s="437" t="s">
        <v>323</v>
      </c>
      <c r="X135" s="437" t="s">
        <v>324</v>
      </c>
      <c r="Y135" s="437" t="s">
        <v>325</v>
      </c>
      <c r="Z135" s="546" t="s">
        <v>326</v>
      </c>
      <c r="AA135" s="504" t="s">
        <v>327</v>
      </c>
      <c r="AB135" s="521">
        <f>Y105</f>
        <v>1.7764309625239045</v>
      </c>
      <c r="AC135" s="546"/>
      <c r="AD135" s="510"/>
      <c r="AE135" s="510"/>
      <c r="AF135" s="513"/>
    </row>
    <row r="136" spans="17:32" ht="19.5" customHeight="1">
      <c r="Q136" s="510"/>
      <c r="R136" s="510"/>
      <c r="T136" s="547">
        <v>400</v>
      </c>
      <c r="U136" s="910" t="s">
        <v>328</v>
      </c>
      <c r="V136" s="929"/>
      <c r="W136" s="437">
        <v>64</v>
      </c>
      <c r="X136" s="437">
        <v>32</v>
      </c>
      <c r="Y136" s="437">
        <v>20</v>
      </c>
      <c r="Z136" s="546">
        <f>AB121</f>
        <v>31.310910023251484</v>
      </c>
      <c r="AA136" s="548">
        <f>0.8*$Z$136</f>
        <v>25.04872801860119</v>
      </c>
      <c r="AB136" s="549">
        <f>0.8*$Z$136</f>
        <v>25.04872801860119</v>
      </c>
      <c r="AC136" s="550">
        <f>0.8*$Z$136</f>
        <v>25.04872801860119</v>
      </c>
      <c r="AD136" s="518" t="s">
        <v>329</v>
      </c>
      <c r="AE136" s="520">
        <f>IF($AB$135&lt;5,T144,IF($AB$135&lt;10,U144,V144))</f>
        <v>8.297391156161643</v>
      </c>
      <c r="AF136" s="513"/>
    </row>
    <row r="137" spans="17:32" ht="19.5" customHeight="1">
      <c r="Q137" s="510"/>
      <c r="R137" s="510"/>
      <c r="T137" s="547">
        <v>500</v>
      </c>
      <c r="U137" s="910" t="s">
        <v>330</v>
      </c>
      <c r="V137" s="929"/>
      <c r="W137" s="437">
        <v>64</v>
      </c>
      <c r="X137" s="437">
        <v>45</v>
      </c>
      <c r="Y137" s="437">
        <v>22</v>
      </c>
      <c r="Z137" s="546">
        <f aca="true" t="shared" si="1" ref="Z137:Z142">Z136</f>
        <v>31.310910023251484</v>
      </c>
      <c r="AA137" s="548">
        <f>0.55*$Z$137</f>
        <v>17.22100051278832</v>
      </c>
      <c r="AB137" s="549">
        <f>0.55*$Z$137</f>
        <v>17.22100051278832</v>
      </c>
      <c r="AC137" s="550">
        <f>0.55*$Z$137</f>
        <v>17.22100051278832</v>
      </c>
      <c r="AD137" s="518" t="s">
        <v>331</v>
      </c>
      <c r="AE137" s="520">
        <f>IF($AB$135&lt;5,T145,IF($AB$135&lt;10,U145,V145))</f>
        <v>8.297391156161643</v>
      </c>
      <c r="AF137" s="513"/>
    </row>
    <row r="138" spans="17:32" ht="19.5" customHeight="1">
      <c r="Q138" s="510"/>
      <c r="R138" s="510"/>
      <c r="T138" s="547">
        <v>600</v>
      </c>
      <c r="U138" s="910" t="s">
        <v>332</v>
      </c>
      <c r="V138" s="929"/>
      <c r="W138" s="437">
        <v>64</v>
      </c>
      <c r="X138" s="437">
        <v>43</v>
      </c>
      <c r="Y138" s="437">
        <v>21</v>
      </c>
      <c r="Z138" s="546">
        <f t="shared" si="1"/>
        <v>31.310910023251484</v>
      </c>
      <c r="AA138" s="548">
        <f>0.534*$Z$138</f>
        <v>16.720025952416293</v>
      </c>
      <c r="AB138" s="549">
        <f>0.534*$Z$138</f>
        <v>16.720025952416293</v>
      </c>
      <c r="AC138" s="550">
        <f>0.534*$Z$138</f>
        <v>16.720025952416293</v>
      </c>
      <c r="AD138" s="510"/>
      <c r="AE138" s="510"/>
      <c r="AF138" s="513"/>
    </row>
    <row r="139" spans="17:32" ht="19.5" customHeight="1">
      <c r="Q139" s="510"/>
      <c r="R139" s="510"/>
      <c r="T139" s="547">
        <v>800</v>
      </c>
      <c r="U139" s="910" t="s">
        <v>333</v>
      </c>
      <c r="V139" s="929"/>
      <c r="W139" s="437">
        <v>64</v>
      </c>
      <c r="X139" s="437">
        <v>32</v>
      </c>
      <c r="Y139" s="437">
        <v>16</v>
      </c>
      <c r="Z139" s="546">
        <f t="shared" si="1"/>
        <v>31.310910023251484</v>
      </c>
      <c r="AA139" s="548">
        <f>0.4*$Z$139</f>
        <v>12.524364009300594</v>
      </c>
      <c r="AB139" s="549">
        <f>0.4*$Z$139</f>
        <v>12.524364009300594</v>
      </c>
      <c r="AC139" s="550">
        <f>0.4*$Z$139</f>
        <v>12.524364009300594</v>
      </c>
      <c r="AD139" s="510"/>
      <c r="AE139" s="510"/>
      <c r="AF139" s="513"/>
    </row>
    <row r="140" spans="17:32" ht="19.5" customHeight="1">
      <c r="Q140" s="510"/>
      <c r="R140" s="510"/>
      <c r="T140" s="547">
        <v>1000</v>
      </c>
      <c r="U140" s="910" t="s">
        <v>334</v>
      </c>
      <c r="V140" s="929"/>
      <c r="W140" s="437">
        <v>64</v>
      </c>
      <c r="X140" s="437">
        <v>26</v>
      </c>
      <c r="Y140" s="437">
        <v>13</v>
      </c>
      <c r="Z140" s="546">
        <f t="shared" si="1"/>
        <v>31.310910023251484</v>
      </c>
      <c r="AA140" s="548">
        <f>0.32*$Z$140</f>
        <v>10.019491207440476</v>
      </c>
      <c r="AB140" s="549">
        <f>0.32*$Z$140</f>
        <v>10.019491207440476</v>
      </c>
      <c r="AC140" s="550">
        <f>0.32*$Z$140</f>
        <v>10.019491207440476</v>
      </c>
      <c r="AD140" s="510"/>
      <c r="AE140" s="510"/>
      <c r="AF140" s="513"/>
    </row>
    <row r="141" spans="17:32" ht="19.5" customHeight="1">
      <c r="Q141" s="510"/>
      <c r="R141" s="510"/>
      <c r="T141" s="547">
        <v>1200</v>
      </c>
      <c r="U141" s="910" t="s">
        <v>335</v>
      </c>
      <c r="V141" s="929"/>
      <c r="W141" s="437">
        <v>64</v>
      </c>
      <c r="X141" s="437">
        <v>21</v>
      </c>
      <c r="Y141" s="437">
        <v>11</v>
      </c>
      <c r="Z141" s="546">
        <f t="shared" si="1"/>
        <v>31.310910023251484</v>
      </c>
      <c r="AA141" s="548">
        <f>0.265*$Z$141</f>
        <v>8.297391156161643</v>
      </c>
      <c r="AB141" s="549">
        <f>0.265*$Z$141</f>
        <v>8.297391156161643</v>
      </c>
      <c r="AC141" s="550">
        <f>0.265*$Z$141</f>
        <v>8.297391156161643</v>
      </c>
      <c r="AD141" s="510"/>
      <c r="AE141" s="510"/>
      <c r="AF141" s="513"/>
    </row>
    <row r="142" spans="17:32" ht="19.5" customHeight="1">
      <c r="Q142" s="510"/>
      <c r="R142" s="510"/>
      <c r="T142" s="551">
        <v>1200</v>
      </c>
      <c r="U142" s="910" t="s">
        <v>336</v>
      </c>
      <c r="V142" s="929"/>
      <c r="W142" s="437">
        <v>6</v>
      </c>
      <c r="X142" s="437">
        <v>6</v>
      </c>
      <c r="Y142" s="437">
        <v>6</v>
      </c>
      <c r="Z142" s="546">
        <f t="shared" si="1"/>
        <v>31.310910023251484</v>
      </c>
      <c r="AA142" s="548">
        <f>0.15*$Z$142</f>
        <v>4.696636503487722</v>
      </c>
      <c r="AB142" s="549">
        <f>0.15*$Z$142</f>
        <v>4.696636503487722</v>
      </c>
      <c r="AC142" s="550">
        <f>0.15*$Z$142</f>
        <v>4.696636503487722</v>
      </c>
      <c r="AD142" s="510"/>
      <c r="AE142" s="510"/>
      <c r="AF142" s="513"/>
    </row>
    <row r="143" spans="17:32" ht="19.5" customHeight="1">
      <c r="Q143" s="510"/>
      <c r="R143" s="510"/>
      <c r="S143" s="507"/>
      <c r="T143" s="507"/>
      <c r="U143" s="510"/>
      <c r="V143" s="510"/>
      <c r="W143" s="510"/>
      <c r="X143" s="510"/>
      <c r="Y143" s="510"/>
      <c r="Z143" s="510"/>
      <c r="AA143" s="507"/>
      <c r="AB143" s="507"/>
      <c r="AC143" s="510"/>
      <c r="AD143" s="510"/>
      <c r="AE143" s="510"/>
      <c r="AF143" s="513"/>
    </row>
    <row r="144" spans="17:32" ht="19.5" customHeight="1">
      <c r="Q144" s="510"/>
      <c r="R144" s="510"/>
      <c r="S144" s="507"/>
      <c r="T144" s="552">
        <f>IF(AB134&lt;T136,W144,IF(AB134&lt;T137,W145,IF(AB134&lt;T138,W146,IF(AB134&lt;T139,AA144,IF(AB134&lt;T140,AA145,IF(AB134&lt;T141,AA146,AA147))))))</f>
        <v>8.297391156161643</v>
      </c>
      <c r="U144" s="552">
        <f>IF($AB$134&lt;$T$136,X144,IF($AB$134&lt;$T$137,X145,IF($AB$134&lt;$T$138,X146,IF($AB$134&lt;$T$139,AB144,IF($AB$134&lt;$T$140,AB145,IF($AB$134&lt;T141,AB146,AB147))))))</f>
        <v>8.297391156161643</v>
      </c>
      <c r="V144" s="552">
        <f>IF($AB$134&lt;$T$136,Y144,IF($AB$134&lt;$T$137,Y145,IF($AB$134&lt;$T$138,Y146,IF($AB$134&lt;$T$139,AC144,IF($AB$134&lt;$T$140,AC145,IF($AB$134&lt;U141,AC146,AC147))))))</f>
        <v>8.297391156161643</v>
      </c>
      <c r="W144" s="553">
        <f aca="true" t="shared" si="2" ref="W144:Y145">IF(AA136&lt;W136,AA136,W136)</f>
        <v>25.04872801860119</v>
      </c>
      <c r="X144" s="553">
        <f t="shared" si="2"/>
        <v>25.04872801860119</v>
      </c>
      <c r="Y144" s="553">
        <f t="shared" si="2"/>
        <v>20</v>
      </c>
      <c r="Z144" s="510"/>
      <c r="AA144" s="553">
        <f aca="true" t="shared" si="3" ref="AA144:AC147">IF(AA139&lt;W139,AA139,W139)</f>
        <v>12.524364009300594</v>
      </c>
      <c r="AB144" s="553">
        <f t="shared" si="3"/>
        <v>12.524364009300594</v>
      </c>
      <c r="AC144" s="553">
        <f t="shared" si="3"/>
        <v>12.524364009300594</v>
      </c>
      <c r="AD144" s="510"/>
      <c r="AE144" s="510"/>
      <c r="AF144" s="513"/>
    </row>
    <row r="145" spans="17:32" ht="19.5" customHeight="1">
      <c r="Q145" s="510"/>
      <c r="R145" s="510"/>
      <c r="S145" s="507"/>
      <c r="T145" s="546">
        <f>IF($AD$134&lt;$T$136,W144,IF($AD$134&lt;$T$137,W145,IF($AD$134&lt;$T$138,W146,IF($AD$134&lt;$T$139,AA144,IF($AD$134&lt;$T$140,AA145,IF($AD$134&lt;$T$141,AA146,AA147))))))</f>
        <v>8.297391156161643</v>
      </c>
      <c r="U145" s="546">
        <f>IF($AD$134&lt;$T$136,X144,IF($AD$134&lt;$T$137,X145,IF($AD$134&lt;$T$138,X146,IF($AD$134&lt;$T$139,AB144,IF($AD$134&lt;$T$140,AB145,IF($AD$134&lt;$T$141,AB146,AB147))))))</f>
        <v>8.297391156161643</v>
      </c>
      <c r="V145" s="546">
        <f>IF($AD$134&lt;$T$136,Y144,IF($AD$134&lt;$T$137,Y145,IF($AD$134&lt;$T$138,Y146,IF($AD$134&lt;$T$139,AC144,IF($AD$134&lt;$T$140,AC145,IF($AD$134&lt;$T$141,AC146,AC147))))))</f>
        <v>8.297391156161643</v>
      </c>
      <c r="W145" s="553">
        <f t="shared" si="2"/>
        <v>17.22100051278832</v>
      </c>
      <c r="X145" s="553">
        <f t="shared" si="2"/>
        <v>17.22100051278832</v>
      </c>
      <c r="Y145" s="553">
        <f t="shared" si="2"/>
        <v>17.22100051278832</v>
      </c>
      <c r="Z145" s="148"/>
      <c r="AA145" s="553">
        <f t="shared" si="3"/>
        <v>10.019491207440476</v>
      </c>
      <c r="AB145" s="553">
        <f t="shared" si="3"/>
        <v>10.019491207440476</v>
      </c>
      <c r="AC145" s="553">
        <f t="shared" si="3"/>
        <v>10.019491207440476</v>
      </c>
      <c r="AD145" s="510"/>
      <c r="AE145" s="510"/>
      <c r="AF145" s="513"/>
    </row>
    <row r="146" spans="17:32" ht="19.5" customHeight="1">
      <c r="Q146" s="510"/>
      <c r="R146" s="510"/>
      <c r="S146" s="507"/>
      <c r="T146" s="507"/>
      <c r="U146" s="510"/>
      <c r="V146" s="148"/>
      <c r="W146" s="553">
        <f>IF(AA138&lt;W138,AA138,64)</f>
        <v>16.720025952416293</v>
      </c>
      <c r="X146" s="553">
        <f>IF(AB138&lt;X138,AB138,X138)</f>
        <v>16.720025952416293</v>
      </c>
      <c r="Y146" s="553">
        <f>IF(AC138&lt;Y138,AC138,Y138)</f>
        <v>16.720025952416293</v>
      </c>
      <c r="Z146" s="504"/>
      <c r="AA146" s="553">
        <f t="shared" si="3"/>
        <v>8.297391156161643</v>
      </c>
      <c r="AB146" s="553">
        <f t="shared" si="3"/>
        <v>8.297391156161643</v>
      </c>
      <c r="AC146" s="553">
        <f t="shared" si="3"/>
        <v>8.297391156161643</v>
      </c>
      <c r="AD146" s="510"/>
      <c r="AE146" s="510"/>
      <c r="AF146" s="513"/>
    </row>
    <row r="147" spans="17:32" ht="19.5" customHeight="1">
      <c r="Q147" s="510"/>
      <c r="R147" s="510"/>
      <c r="S147" s="507"/>
      <c r="T147" s="507"/>
      <c r="U147" s="510"/>
      <c r="V147" s="148"/>
      <c r="W147" s="148"/>
      <c r="X147" s="148"/>
      <c r="Y147" s="510"/>
      <c r="Z147" s="504"/>
      <c r="AA147" s="553">
        <f t="shared" si="3"/>
        <v>4.696636503487722</v>
      </c>
      <c r="AB147" s="553">
        <f t="shared" si="3"/>
        <v>4.696636503487722</v>
      </c>
      <c r="AC147" s="553">
        <f t="shared" si="3"/>
        <v>4.696636503487722</v>
      </c>
      <c r="AD147" s="510"/>
      <c r="AE147" s="510"/>
      <c r="AF147" s="513"/>
    </row>
    <row r="148" spans="17:32" ht="19.5" customHeight="1">
      <c r="Q148" s="510"/>
      <c r="R148" s="510"/>
      <c r="S148" s="507"/>
      <c r="T148" s="507"/>
      <c r="U148" s="510"/>
      <c r="V148" s="148"/>
      <c r="W148" s="148"/>
      <c r="X148" s="148"/>
      <c r="Y148" s="510"/>
      <c r="Z148" s="504"/>
      <c r="AA148" s="507"/>
      <c r="AB148" s="507"/>
      <c r="AC148" s="510"/>
      <c r="AD148" s="510"/>
      <c r="AE148" s="510"/>
      <c r="AF148" s="513"/>
    </row>
    <row r="149" spans="17:32" ht="19.5" customHeight="1">
      <c r="Q149" s="510"/>
      <c r="R149" s="510"/>
      <c r="S149" s="507"/>
      <c r="T149" s="507"/>
      <c r="U149" s="510"/>
      <c r="V149" s="510"/>
      <c r="W149" s="510"/>
      <c r="X149" s="510"/>
      <c r="Y149" s="510"/>
      <c r="Z149" s="504"/>
      <c r="AA149" s="507"/>
      <c r="AB149" s="507"/>
      <c r="AC149" s="510"/>
      <c r="AD149" s="510"/>
      <c r="AE149" s="510"/>
      <c r="AF149" s="513"/>
    </row>
    <row r="150" spans="17:32" ht="19.5" customHeight="1">
      <c r="Q150" s="510"/>
      <c r="R150" s="510"/>
      <c r="S150" s="507"/>
      <c r="T150" s="507"/>
      <c r="U150" s="510"/>
      <c r="V150" s="510"/>
      <c r="W150" s="510"/>
      <c r="X150" s="504" t="s">
        <v>337</v>
      </c>
      <c r="Y150" s="522">
        <f>AD84</f>
        <v>2.3470257168534507</v>
      </c>
      <c r="Z150" s="504" t="s">
        <v>338</v>
      </c>
      <c r="AA150" s="522">
        <f>AA152^2/(1+AA152+AA152^2)</f>
        <v>0.8939566704675029</v>
      </c>
      <c r="AB150" s="507"/>
      <c r="AC150" s="554" t="s">
        <v>339</v>
      </c>
      <c r="AD150" s="555">
        <f>Y150^AA150</f>
        <v>2.1440104707420273</v>
      </c>
      <c r="AE150" s="510"/>
      <c r="AF150" s="513"/>
    </row>
    <row r="151" spans="17:32" ht="19.5" customHeight="1" thickBot="1">
      <c r="Q151" s="510"/>
      <c r="R151" s="510"/>
      <c r="S151" s="507"/>
      <c r="T151" s="507"/>
      <c r="U151" s="510"/>
      <c r="V151" s="510"/>
      <c r="W151" s="510"/>
      <c r="X151" s="504" t="s">
        <v>340</v>
      </c>
      <c r="Y151" s="521">
        <f>AA105</f>
        <v>105</v>
      </c>
      <c r="Z151" s="754" t="s">
        <v>341</v>
      </c>
      <c r="AA151" s="755">
        <f>2.25*AA58</f>
        <v>11.25</v>
      </c>
      <c r="AB151" s="507"/>
      <c r="AC151" s="510"/>
      <c r="AD151" s="510"/>
      <c r="AE151" s="510"/>
      <c r="AF151" s="513"/>
    </row>
    <row r="152" spans="17:32" ht="19.5" customHeight="1" thickBot="1">
      <c r="Q152" s="510"/>
      <c r="R152" s="510"/>
      <c r="S152" s="416"/>
      <c r="T152" s="507"/>
      <c r="U152" s="510"/>
      <c r="V152" s="510"/>
      <c r="W152" s="148"/>
      <c r="X152" s="148"/>
      <c r="Y152" s="148"/>
      <c r="Z152" s="433" t="s">
        <v>342</v>
      </c>
      <c r="AA152" s="522">
        <f>Y151/AA151</f>
        <v>9.333333333333334</v>
      </c>
      <c r="AB152" s="507"/>
      <c r="AC152" s="530" t="s">
        <v>343</v>
      </c>
      <c r="AD152" s="531">
        <f>Y150^AA150</f>
        <v>2.1440104707420273</v>
      </c>
      <c r="AE152" s="510"/>
      <c r="AF152" s="513"/>
    </row>
    <row r="153" spans="17:32" ht="19.5" customHeight="1" thickBot="1">
      <c r="Q153" s="510"/>
      <c r="R153" s="510"/>
      <c r="S153" s="507"/>
      <c r="T153" s="507"/>
      <c r="U153" s="510"/>
      <c r="V153" s="510"/>
      <c r="W153" s="148"/>
      <c r="X153" s="148"/>
      <c r="Y153" s="148"/>
      <c r="Z153" s="148"/>
      <c r="AA153" s="148"/>
      <c r="AB153" s="507"/>
      <c r="AC153" s="510"/>
      <c r="AD153" s="510"/>
      <c r="AE153" s="510"/>
      <c r="AF153" s="513"/>
    </row>
    <row r="154" spans="17:32" ht="19.5" customHeight="1" thickBot="1">
      <c r="Q154" s="510"/>
      <c r="R154" s="510"/>
      <c r="S154" s="507"/>
      <c r="T154" s="507"/>
      <c r="U154" s="510"/>
      <c r="V154" s="510"/>
      <c r="W154" s="510"/>
      <c r="X154" s="510"/>
      <c r="Y154" s="510"/>
      <c r="Z154" s="510"/>
      <c r="AA154" s="507"/>
      <c r="AB154" s="507"/>
      <c r="AC154" s="530" t="s">
        <v>344</v>
      </c>
      <c r="AD154" s="531">
        <f>0.25+0.75/X156</f>
        <v>0.7230635535342321</v>
      </c>
      <c r="AE154" s="510"/>
      <c r="AF154" s="513"/>
    </row>
    <row r="155" spans="17:32" ht="19.5" customHeight="1" thickBot="1">
      <c r="Q155" s="510"/>
      <c r="R155" s="510"/>
      <c r="S155" s="507"/>
      <c r="T155" s="507"/>
      <c r="U155" s="510"/>
      <c r="V155" s="510"/>
      <c r="W155" s="510"/>
      <c r="X155" s="510"/>
      <c r="Y155" s="510"/>
      <c r="Z155" s="510"/>
      <c r="AA155" s="507"/>
      <c r="AB155" s="507"/>
      <c r="AC155" s="510"/>
      <c r="AD155" s="510"/>
      <c r="AE155" s="510"/>
      <c r="AF155" s="513"/>
    </row>
    <row r="156" spans="17:32" ht="19.5" customHeight="1" thickBot="1">
      <c r="Q156" s="510"/>
      <c r="R156" s="510"/>
      <c r="S156" s="507"/>
      <c r="T156" s="507"/>
      <c r="U156" s="510"/>
      <c r="V156" s="510"/>
      <c r="W156" s="753" t="s">
        <v>579</v>
      </c>
      <c r="X156" s="751">
        <f>4!D40</f>
        <v>1.5854106586668761</v>
      </c>
      <c r="AA156" s="558" t="s">
        <v>345</v>
      </c>
      <c r="AB156" s="557">
        <f>AC291</f>
        <v>0.8170649791844806</v>
      </c>
      <c r="AC156" s="530" t="s">
        <v>346</v>
      </c>
      <c r="AD156" s="531">
        <f>IF(AA160&lt;30,Y158,Z158)</f>
        <v>0.8793541666666667</v>
      </c>
      <c r="AE156" s="510"/>
      <c r="AF156" s="513"/>
    </row>
    <row r="157" spans="17:32" ht="19.5" customHeight="1" thickBot="1">
      <c r="Q157" s="510"/>
      <c r="R157" s="510"/>
      <c r="S157" s="507"/>
      <c r="T157" s="507"/>
      <c r="U157" s="510"/>
      <c r="V157" s="510"/>
      <c r="W157" s="559"/>
      <c r="X157" s="559"/>
      <c r="Y157" s="510"/>
      <c r="Z157" s="510"/>
      <c r="AA157" s="507"/>
      <c r="AB157" s="507"/>
      <c r="AC157" s="510"/>
      <c r="AD157" s="510"/>
      <c r="AE157" s="510"/>
      <c r="AF157" s="513"/>
    </row>
    <row r="158" spans="17:32" ht="19.5" customHeight="1" thickBot="1">
      <c r="Q158" s="510"/>
      <c r="R158" s="510"/>
      <c r="S158" s="507"/>
      <c r="T158" s="507"/>
      <c r="U158" s="510"/>
      <c r="V158" s="510"/>
      <c r="W158" s="753" t="s">
        <v>580</v>
      </c>
      <c r="X158" s="795">
        <f>IF(4!D41&gt;=1,1,4!D41)</f>
        <v>1</v>
      </c>
      <c r="Y158" s="510">
        <f>1-X158*AA160/120</f>
        <v>0.8793541666666667</v>
      </c>
      <c r="Z158" s="510">
        <f>1-X158*0.75</f>
        <v>0.25</v>
      </c>
      <c r="AA158" s="507"/>
      <c r="AB158" s="507"/>
      <c r="AC158" s="530" t="s">
        <v>347</v>
      </c>
      <c r="AD158" s="531">
        <f>IF(AA160&gt;1,AE166,AE163)</f>
        <v>1.2</v>
      </c>
      <c r="AE158" s="510"/>
      <c r="AF158" s="513"/>
    </row>
    <row r="159" spans="17:32" ht="19.5" customHeight="1" thickBot="1">
      <c r="Q159" s="510"/>
      <c r="R159" s="510"/>
      <c r="S159" s="507"/>
      <c r="T159" s="507"/>
      <c r="U159" s="510"/>
      <c r="V159" s="510"/>
      <c r="W159" s="510"/>
      <c r="X159" s="510"/>
      <c r="Y159" s="510"/>
      <c r="Z159" s="510"/>
      <c r="AA159" s="507"/>
      <c r="AB159" s="507"/>
      <c r="AF159" s="513"/>
    </row>
    <row r="160" spans="17:32" ht="19.5" customHeight="1" thickBot="1">
      <c r="Q160" s="510"/>
      <c r="R160" s="510"/>
      <c r="S160" s="507"/>
      <c r="U160" s="523" t="s">
        <v>348</v>
      </c>
      <c r="V160" s="510">
        <f>AA94*X83/AA105</f>
        <v>161.73451288555148</v>
      </c>
      <c r="W160" s="510"/>
      <c r="X160" s="560" t="str">
        <f>W112</f>
        <v>DIN</v>
      </c>
      <c r="Y160" s="561">
        <f>X112</f>
        <v>8</v>
      </c>
      <c r="Z160" s="556" t="s">
        <v>349</v>
      </c>
      <c r="AA160" s="562">
        <f>Y103</f>
        <v>14.4775</v>
      </c>
      <c r="AB160" s="507"/>
      <c r="AC160" s="530" t="s">
        <v>350</v>
      </c>
      <c r="AD160" s="531">
        <f>IF(AA160&gt;1,AE173,AE170)</f>
        <v>1.2</v>
      </c>
      <c r="AF160" s="513"/>
    </row>
    <row r="161" spans="17:32" ht="19.5" customHeight="1">
      <c r="Q161" s="510"/>
      <c r="R161" s="510"/>
      <c r="S161" s="507" t="s">
        <v>351</v>
      </c>
      <c r="T161" s="507"/>
      <c r="U161" s="930" t="s">
        <v>352</v>
      </c>
      <c r="V161" s="930"/>
      <c r="W161" s="930"/>
      <c r="X161" s="930"/>
      <c r="Y161" s="930"/>
      <c r="Z161" s="930"/>
      <c r="AA161" s="930"/>
      <c r="AB161" s="552" t="s">
        <v>353</v>
      </c>
      <c r="AC161" s="546" t="s">
        <v>354</v>
      </c>
      <c r="AD161" s="546" t="s">
        <v>353</v>
      </c>
      <c r="AE161" s="563"/>
      <c r="AF161" s="513"/>
    </row>
    <row r="162" spans="17:32" ht="19.5" customHeight="1">
      <c r="Q162" s="510"/>
      <c r="R162" s="510"/>
      <c r="S162" s="777">
        <f>1!G37</f>
        <v>3</v>
      </c>
      <c r="T162" s="776" t="s">
        <v>355</v>
      </c>
      <c r="U162" s="565">
        <v>6</v>
      </c>
      <c r="V162" s="565">
        <v>7</v>
      </c>
      <c r="W162" s="565">
        <v>8</v>
      </c>
      <c r="X162" s="565">
        <v>9</v>
      </c>
      <c r="Y162" s="565">
        <v>10</v>
      </c>
      <c r="Z162" s="566">
        <v>11</v>
      </c>
      <c r="AA162" s="565">
        <v>12</v>
      </c>
      <c r="AB162" s="567" t="s">
        <v>356</v>
      </c>
      <c r="AC162" s="510"/>
      <c r="AD162" s="510"/>
      <c r="AE162" s="563"/>
      <c r="AF162" s="513"/>
    </row>
    <row r="163" spans="17:31" ht="19.5" customHeight="1">
      <c r="Q163" s="510"/>
      <c r="R163" s="510"/>
      <c r="S163" s="568"/>
      <c r="T163" s="928" t="s">
        <v>357</v>
      </c>
      <c r="U163" s="548">
        <v>1</v>
      </c>
      <c r="V163" s="548">
        <v>1</v>
      </c>
      <c r="W163" s="548">
        <v>1.1</v>
      </c>
      <c r="X163" s="548">
        <v>1.2</v>
      </c>
      <c r="Y163" s="569">
        <f>IF(1/AD154&lt;1.2,1.2,1/AD154)</f>
        <v>1.3830042948675005</v>
      </c>
      <c r="Z163" s="570"/>
      <c r="AA163" s="570"/>
      <c r="AB163" s="571"/>
      <c r="AC163" s="546">
        <f>IF($Y$160&lt;6.5,U163,IF($Y$160&lt;7.5,V163,IF($Y$160&lt;8.5,W163,IF($Y$160&lt;9.5,X163,Y163))))</f>
        <v>1.1</v>
      </c>
      <c r="AD163" s="546">
        <f>Y163</f>
        <v>1.3830042948675005</v>
      </c>
      <c r="AE163" s="572">
        <f>IF($S$162&gt;2.5,AC165,AD165)</f>
        <v>1.1</v>
      </c>
    </row>
    <row r="164" spans="17:32" ht="19.5" customHeight="1">
      <c r="Q164" s="510"/>
      <c r="R164" s="510"/>
      <c r="S164" s="568"/>
      <c r="T164" s="928"/>
      <c r="U164" s="569">
        <v>1</v>
      </c>
      <c r="V164" s="570"/>
      <c r="W164" s="571"/>
      <c r="X164" s="548">
        <v>1.1</v>
      </c>
      <c r="Y164" s="548">
        <v>1.2</v>
      </c>
      <c r="Z164" s="569">
        <f>IF(1/AD154&lt;1.2,1.2,1/AD154)</f>
        <v>1.3830042948675005</v>
      </c>
      <c r="AA164" s="570"/>
      <c r="AB164" s="571"/>
      <c r="AC164" s="546">
        <f>IF($Y$160&lt;8.5,U164,IF($Y$160&lt;9.5,X164,IF($Y$160&lt;10.5,Y164,Z164)))</f>
        <v>1</v>
      </c>
      <c r="AD164" s="573">
        <f>Z164</f>
        <v>1.3830042948675005</v>
      </c>
      <c r="AE164" s="148"/>
      <c r="AF164" s="563"/>
    </row>
    <row r="165" spans="17:32" ht="19.5" customHeight="1">
      <c r="Q165" s="510"/>
      <c r="R165" s="510"/>
      <c r="S165" s="507"/>
      <c r="T165" s="564" t="s">
        <v>358</v>
      </c>
      <c r="U165" s="570"/>
      <c r="V165" s="570"/>
      <c r="W165" s="570"/>
      <c r="X165" s="570"/>
      <c r="Y165" s="570"/>
      <c r="Z165" s="570"/>
      <c r="AA165" s="570"/>
      <c r="AB165" s="571"/>
      <c r="AC165" s="572">
        <f>IF($V$160&gt;100,AC163,AD163)</f>
        <v>1.1</v>
      </c>
      <c r="AD165" s="572">
        <f>IF($V$160&gt;100,AC164,AD164)</f>
        <v>1</v>
      </c>
      <c r="AE165" s="572"/>
      <c r="AF165" s="563"/>
    </row>
    <row r="166" spans="17:31" ht="19.5" customHeight="1">
      <c r="Q166" s="510"/>
      <c r="R166" s="510"/>
      <c r="S166" s="568"/>
      <c r="T166" s="926" t="s">
        <v>357</v>
      </c>
      <c r="U166" s="574">
        <v>1</v>
      </c>
      <c r="V166" s="574">
        <v>1.1</v>
      </c>
      <c r="W166" s="574">
        <v>1.2</v>
      </c>
      <c r="X166" s="574">
        <v>1.4</v>
      </c>
      <c r="Y166" s="569">
        <f>IF(X156&lt;1.4,1.4,X156)</f>
        <v>1.5854106586668761</v>
      </c>
      <c r="Z166" s="570"/>
      <c r="AA166" s="570"/>
      <c r="AB166" s="571"/>
      <c r="AC166" s="546">
        <f>IF($Y$160&lt;6.5,U166,IF($Y$160&lt;7.5,V166,IF($Y$160&lt;8.5,W166,IF($Y$160&lt;9.5,X166,Y166))))</f>
        <v>1.2</v>
      </c>
      <c r="AD166" s="546">
        <f>Y166</f>
        <v>1.5854106586668761</v>
      </c>
      <c r="AE166" s="572">
        <f>IF($S$162&gt;2.5,AC168,AD168)</f>
        <v>1.2</v>
      </c>
    </row>
    <row r="167" spans="17:32" ht="19.5" customHeight="1">
      <c r="Q167" s="510"/>
      <c r="R167" s="510"/>
      <c r="S167" s="568"/>
      <c r="T167" s="927"/>
      <c r="U167" s="569">
        <v>1</v>
      </c>
      <c r="V167" s="571"/>
      <c r="W167" s="574">
        <v>1.1</v>
      </c>
      <c r="X167" s="574">
        <v>1.2</v>
      </c>
      <c r="Y167" s="574">
        <v>1.4</v>
      </c>
      <c r="Z167" s="569">
        <f>IF(X156&lt;1.4,1.4,X156)</f>
        <v>1.5854106586668761</v>
      </c>
      <c r="AA167" s="570"/>
      <c r="AB167" s="571"/>
      <c r="AC167" s="546">
        <f>IF($Y$160&lt;7.5,U167,IF($Y$160&lt;8.5,W167,IF($Y$160&lt;9.5,X167,IF($Y$160&lt;10.5,Y167,Z167))))</f>
        <v>1.1</v>
      </c>
      <c r="AD167" s="546">
        <f>Z167</f>
        <v>1.5854106586668761</v>
      </c>
      <c r="AE167" s="148"/>
      <c r="AF167" s="563"/>
    </row>
    <row r="168" spans="17:32" ht="19.5" customHeight="1">
      <c r="Q168" s="510"/>
      <c r="R168" s="510"/>
      <c r="S168" s="507"/>
      <c r="T168" s="575"/>
      <c r="U168" s="510"/>
      <c r="V168" s="510"/>
      <c r="W168" s="510"/>
      <c r="X168" s="510"/>
      <c r="Y168" s="510"/>
      <c r="Z168" s="510"/>
      <c r="AA168" s="507"/>
      <c r="AB168" s="507"/>
      <c r="AC168" s="572">
        <f>IF($V$160&gt;100,AC166,AD166)</f>
        <v>1.2</v>
      </c>
      <c r="AD168" s="572">
        <f>IF($V$160&gt;100,AC167,AD167)</f>
        <v>1.1</v>
      </c>
      <c r="AE168" s="572"/>
      <c r="AF168" s="563"/>
    </row>
    <row r="169" spans="17:32" ht="19.5" customHeight="1">
      <c r="Q169" s="510"/>
      <c r="R169" s="510"/>
      <c r="S169" s="507"/>
      <c r="T169" s="564" t="s">
        <v>355</v>
      </c>
      <c r="U169" s="565">
        <v>6</v>
      </c>
      <c r="V169" s="565">
        <v>7</v>
      </c>
      <c r="W169" s="565">
        <v>8</v>
      </c>
      <c r="X169" s="565">
        <v>9</v>
      </c>
      <c r="Y169" s="565">
        <v>10</v>
      </c>
      <c r="Z169" s="566">
        <v>11</v>
      </c>
      <c r="AA169" s="565">
        <v>12</v>
      </c>
      <c r="AB169" s="567" t="s">
        <v>356</v>
      </c>
      <c r="AC169" s="572">
        <f>IF($V$160&gt;100,AC170,AD170)</f>
        <v>1.1</v>
      </c>
      <c r="AD169" s="572">
        <f>IF($V$160&gt;100,AC171,AD171)</f>
        <v>1</v>
      </c>
      <c r="AE169" s="572"/>
      <c r="AF169" s="563"/>
    </row>
    <row r="170" spans="17:31" ht="19.5" customHeight="1">
      <c r="Q170" s="510"/>
      <c r="R170" s="510"/>
      <c r="S170" s="568"/>
      <c r="T170" s="928" t="s">
        <v>359</v>
      </c>
      <c r="U170" s="548">
        <v>1</v>
      </c>
      <c r="V170" s="548">
        <v>1</v>
      </c>
      <c r="W170" s="548">
        <v>1.1</v>
      </c>
      <c r="X170" s="548">
        <v>1.2</v>
      </c>
      <c r="Y170" s="569">
        <f>IF(1/AD154&lt;1.2,1.2,1/AD154)</f>
        <v>1.3830042948675005</v>
      </c>
      <c r="Z170" s="570"/>
      <c r="AA170" s="570"/>
      <c r="AB170" s="571"/>
      <c r="AC170" s="546">
        <f>IF($Y$160&lt;6.5,U170,IF($Y$160&lt;7.5,V170,IF($Y$160&lt;8.5,W170,IF($Y$160&lt;9.5,X170,Y170))))</f>
        <v>1.1</v>
      </c>
      <c r="AD170" s="546">
        <f>Y170</f>
        <v>1.3830042948675005</v>
      </c>
      <c r="AE170" s="572">
        <f>IF($S$162&gt;2.5,AC169,AD169)</f>
        <v>1.1</v>
      </c>
    </row>
    <row r="171" spans="17:32" ht="19.5" customHeight="1">
      <c r="Q171" s="510"/>
      <c r="R171" s="510"/>
      <c r="S171" s="568"/>
      <c r="T171" s="928"/>
      <c r="U171" s="569">
        <v>1</v>
      </c>
      <c r="V171" s="570"/>
      <c r="W171" s="571"/>
      <c r="X171" s="548">
        <v>1.1</v>
      </c>
      <c r="Y171" s="548">
        <v>1.2</v>
      </c>
      <c r="Z171" s="569">
        <f>IF(1/AD154&lt;1.2,1.2,1/AD154)</f>
        <v>1.3830042948675005</v>
      </c>
      <c r="AA171" s="570"/>
      <c r="AB171" s="571"/>
      <c r="AC171" s="546">
        <f>IF($Y$160&lt;8.5,U171,IF($Y$160&lt;9.5,X171,IF($Y$160&lt;10.5,Y171,Z171)))</f>
        <v>1</v>
      </c>
      <c r="AD171" s="546">
        <f>Z171</f>
        <v>1.3830042948675005</v>
      </c>
      <c r="AE171" s="148"/>
      <c r="AF171" s="563"/>
    </row>
    <row r="172" spans="17:32" ht="19.5" customHeight="1">
      <c r="Q172" s="510"/>
      <c r="R172" s="510"/>
      <c r="S172" s="507"/>
      <c r="T172" s="564" t="s">
        <v>358</v>
      </c>
      <c r="U172" s="570"/>
      <c r="V172" s="570"/>
      <c r="W172" s="570"/>
      <c r="X172" s="570"/>
      <c r="Y172" s="570"/>
      <c r="Z172" s="570"/>
      <c r="AA172" s="570"/>
      <c r="AB172" s="571"/>
      <c r="AC172" s="572">
        <f>IF($V$160&gt;100,AC173,AD173)</f>
        <v>1.2</v>
      </c>
      <c r="AD172" s="572">
        <f>IF($V$160&gt;100,AC174,AD174)</f>
        <v>1.1</v>
      </c>
      <c r="AE172" s="572"/>
      <c r="AF172" s="563"/>
    </row>
    <row r="173" spans="17:31" ht="19.5" customHeight="1">
      <c r="Q173" s="510"/>
      <c r="R173" s="510"/>
      <c r="S173" s="568"/>
      <c r="T173" s="928" t="s">
        <v>359</v>
      </c>
      <c r="U173" s="574">
        <v>1</v>
      </c>
      <c r="V173" s="574">
        <v>1.1</v>
      </c>
      <c r="W173" s="574">
        <v>1.2</v>
      </c>
      <c r="X173" s="574">
        <v>1.4</v>
      </c>
      <c r="Y173" s="569">
        <f>IF(X156&lt;1.4,1.4,X156)</f>
        <v>1.5854106586668761</v>
      </c>
      <c r="Z173" s="570"/>
      <c r="AA173" s="570"/>
      <c r="AB173" s="571"/>
      <c r="AC173" s="546">
        <f>IF($Y$160&lt;6.5,U173,IF($Y$160&lt;7.5,V173,IF($Y$160&lt;8.5,W173,IF($Y$160&lt;9.5,X173,Y173))))</f>
        <v>1.2</v>
      </c>
      <c r="AD173" s="546">
        <f>Y173</f>
        <v>1.5854106586668761</v>
      </c>
      <c r="AE173" s="572">
        <f>IF($S$162&gt;2.5,AC172,AD172)</f>
        <v>1.2</v>
      </c>
    </row>
    <row r="174" spans="17:32" ht="19.5" customHeight="1">
      <c r="Q174" s="510"/>
      <c r="R174" s="510"/>
      <c r="S174" s="568"/>
      <c r="T174" s="928"/>
      <c r="U174" s="569">
        <v>1</v>
      </c>
      <c r="V174" s="571"/>
      <c r="W174" s="574">
        <v>1.1</v>
      </c>
      <c r="X174" s="574">
        <v>1.2</v>
      </c>
      <c r="Y174" s="574">
        <v>1.4</v>
      </c>
      <c r="Z174" s="569">
        <f>IF(X156&lt;1.4,1.4,X156)</f>
        <v>1.5854106586668761</v>
      </c>
      <c r="AA174" s="570"/>
      <c r="AB174" s="571"/>
      <c r="AC174" s="546">
        <f>IF($Y$160&lt;7.5,U174,IF($Y$160&lt;8.5,W174,IF($Y$160&lt;9.5,X174,IF($Y$160&lt;10.5,Y174,Z174))))</f>
        <v>1.1</v>
      </c>
      <c r="AD174" s="546">
        <f>Z174</f>
        <v>1.5854106586668761</v>
      </c>
      <c r="AE174" s="148"/>
      <c r="AF174" s="510"/>
    </row>
    <row r="175" spans="17:32" ht="19.5" customHeight="1">
      <c r="Q175" s="510"/>
      <c r="R175" s="510"/>
      <c r="S175" s="507"/>
      <c r="T175" s="507"/>
      <c r="U175" s="510"/>
      <c r="V175" s="510"/>
      <c r="W175" s="510"/>
      <c r="X175" s="510"/>
      <c r="Y175" s="510"/>
      <c r="Z175" s="510"/>
      <c r="AA175" s="507"/>
      <c r="AB175" s="507"/>
      <c r="AC175" s="510"/>
      <c r="AD175" s="510"/>
      <c r="AE175" s="510"/>
      <c r="AF175" s="513"/>
    </row>
    <row r="176" spans="17:32" ht="19.5" customHeight="1" thickBot="1">
      <c r="Q176" s="510"/>
      <c r="R176" s="510"/>
      <c r="S176" s="507"/>
      <c r="T176" s="507"/>
      <c r="U176" s="510"/>
      <c r="V176" s="510"/>
      <c r="W176" s="510"/>
      <c r="X176" s="510"/>
      <c r="Y176" s="510"/>
      <c r="Z176" s="510"/>
      <c r="AA176" s="507"/>
      <c r="AB176" s="507"/>
      <c r="AC176" s="510"/>
      <c r="AD176" s="510"/>
      <c r="AE176" s="510"/>
      <c r="AF176" s="513"/>
    </row>
    <row r="177" spans="17:32" ht="19.5" customHeight="1">
      <c r="Q177" s="510"/>
      <c r="R177" s="510"/>
      <c r="S177" s="912"/>
      <c r="T177" s="916"/>
      <c r="U177" s="913"/>
      <c r="V177" s="912" t="s">
        <v>360</v>
      </c>
      <c r="W177" s="916"/>
      <c r="X177" s="916"/>
      <c r="Y177" s="916"/>
      <c r="Z177" s="916"/>
      <c r="AA177" s="916"/>
      <c r="AB177" s="916"/>
      <c r="AC177" s="916"/>
      <c r="AD177" s="913"/>
      <c r="AE177" s="510"/>
      <c r="AF177" s="513"/>
    </row>
    <row r="178" spans="17:32" ht="19.5" customHeight="1">
      <c r="Q178" s="510"/>
      <c r="R178" s="510"/>
      <c r="S178" s="921"/>
      <c r="T178" s="924"/>
      <c r="U178" s="925"/>
      <c r="V178" s="921" t="s">
        <v>352</v>
      </c>
      <c r="W178" s="922"/>
      <c r="X178" s="922"/>
      <c r="Y178" s="922"/>
      <c r="Z178" s="922"/>
      <c r="AA178" s="922"/>
      <c r="AB178" s="922"/>
      <c r="AC178" s="923"/>
      <c r="AD178" s="924" t="s">
        <v>361</v>
      </c>
      <c r="AE178" s="510"/>
      <c r="AF178" s="513"/>
    </row>
    <row r="179" spans="17:32" ht="19.5" customHeight="1">
      <c r="Q179" s="510"/>
      <c r="R179" s="510"/>
      <c r="S179" s="921" t="s">
        <v>362</v>
      </c>
      <c r="T179" s="924"/>
      <c r="U179" s="925"/>
      <c r="V179" s="579"/>
      <c r="W179" s="579"/>
      <c r="X179" s="579"/>
      <c r="Y179" s="579"/>
      <c r="Z179" s="579"/>
      <c r="AA179" s="580"/>
      <c r="AB179" s="578"/>
      <c r="AC179" s="579"/>
      <c r="AD179" s="924"/>
      <c r="AE179" s="510"/>
      <c r="AF179" s="513"/>
    </row>
    <row r="180" spans="17:32" ht="19.5" customHeight="1" thickBot="1">
      <c r="Q180" s="510"/>
      <c r="R180" s="510"/>
      <c r="S180" s="914" t="s">
        <v>363</v>
      </c>
      <c r="T180" s="917"/>
      <c r="U180" s="915"/>
      <c r="V180" s="583">
        <v>6</v>
      </c>
      <c r="W180" s="583">
        <v>7</v>
      </c>
      <c r="X180" s="583">
        <v>8</v>
      </c>
      <c r="Y180" s="583">
        <v>9</v>
      </c>
      <c r="Z180" s="583">
        <v>10</v>
      </c>
      <c r="AA180" s="577">
        <v>11</v>
      </c>
      <c r="AB180" s="582"/>
      <c r="AC180" s="583">
        <v>12</v>
      </c>
      <c r="AD180" s="583" t="s">
        <v>364</v>
      </c>
      <c r="AE180" s="510"/>
      <c r="AF180" s="513"/>
    </row>
    <row r="181" spans="17:32" ht="19.5" customHeight="1">
      <c r="Q181" s="510"/>
      <c r="R181" s="510"/>
      <c r="S181" s="912" t="s">
        <v>365</v>
      </c>
      <c r="T181" s="916" t="s">
        <v>366</v>
      </c>
      <c r="U181" s="576" t="s">
        <v>54</v>
      </c>
      <c r="V181" s="912" t="s">
        <v>367</v>
      </c>
      <c r="W181" s="913"/>
      <c r="X181" s="919" t="s">
        <v>368</v>
      </c>
      <c r="Y181" s="919" t="s">
        <v>369</v>
      </c>
      <c r="Z181" s="912" t="s">
        <v>370</v>
      </c>
      <c r="AA181" s="916"/>
      <c r="AB181" s="916"/>
      <c r="AC181" s="916"/>
      <c r="AD181" s="913"/>
      <c r="AE181" s="510"/>
      <c r="AF181" s="513"/>
    </row>
    <row r="182" spans="17:32" ht="19.5" customHeight="1" thickBot="1">
      <c r="Q182" s="510"/>
      <c r="R182" s="510"/>
      <c r="S182" s="921"/>
      <c r="T182" s="917"/>
      <c r="U182" s="427" t="s">
        <v>371</v>
      </c>
      <c r="V182" s="914"/>
      <c r="W182" s="915"/>
      <c r="X182" s="920"/>
      <c r="Y182" s="920"/>
      <c r="Z182" s="914" t="s">
        <v>372</v>
      </c>
      <c r="AA182" s="917"/>
      <c r="AB182" s="917"/>
      <c r="AC182" s="917"/>
      <c r="AD182" s="915"/>
      <c r="AE182" s="510"/>
      <c r="AF182" s="513"/>
    </row>
    <row r="183" spans="17:32" ht="19.5" customHeight="1">
      <c r="Q183" s="510"/>
      <c r="R183" s="510"/>
      <c r="S183" s="921"/>
      <c r="T183" s="916" t="s">
        <v>373</v>
      </c>
      <c r="U183" s="576" t="s">
        <v>54</v>
      </c>
      <c r="V183" s="919" t="s">
        <v>367</v>
      </c>
      <c r="W183" s="919" t="s">
        <v>368</v>
      </c>
      <c r="X183" s="919" t="s">
        <v>369</v>
      </c>
      <c r="Y183" s="919" t="s">
        <v>374</v>
      </c>
      <c r="Z183" s="912" t="s">
        <v>375</v>
      </c>
      <c r="AA183" s="916"/>
      <c r="AB183" s="916"/>
      <c r="AC183" s="916"/>
      <c r="AD183" s="913"/>
      <c r="AE183" s="510"/>
      <c r="AF183" s="513"/>
    </row>
    <row r="184" spans="17:32" ht="19.5" customHeight="1" thickBot="1">
      <c r="Q184" s="510"/>
      <c r="R184" s="510"/>
      <c r="S184" s="914"/>
      <c r="T184" s="917"/>
      <c r="U184" s="427" t="s">
        <v>371</v>
      </c>
      <c r="V184" s="920"/>
      <c r="W184" s="920"/>
      <c r="X184" s="920"/>
      <c r="Y184" s="920"/>
      <c r="Z184" s="914"/>
      <c r="AA184" s="917"/>
      <c r="AB184" s="917"/>
      <c r="AC184" s="917"/>
      <c r="AD184" s="915"/>
      <c r="AE184" s="510"/>
      <c r="AF184" s="513"/>
    </row>
    <row r="185" spans="17:32" ht="19.5" customHeight="1">
      <c r="Q185" s="510"/>
      <c r="R185" s="510"/>
      <c r="S185" s="912" t="s">
        <v>376</v>
      </c>
      <c r="T185" s="916" t="s">
        <v>366</v>
      </c>
      <c r="U185" s="576" t="s">
        <v>54</v>
      </c>
      <c r="V185" s="912" t="s">
        <v>367</v>
      </c>
      <c r="W185" s="916"/>
      <c r="X185" s="913"/>
      <c r="Y185" s="919" t="s">
        <v>368</v>
      </c>
      <c r="Z185" s="912" t="s">
        <v>369</v>
      </c>
      <c r="AA185" s="913"/>
      <c r="AB185" s="912" t="s">
        <v>377</v>
      </c>
      <c r="AC185" s="916"/>
      <c r="AD185" s="913"/>
      <c r="AE185" s="510"/>
      <c r="AF185" s="513"/>
    </row>
    <row r="186" spans="17:32" ht="19.5" customHeight="1" thickBot="1">
      <c r="Q186" s="510"/>
      <c r="R186" s="510"/>
      <c r="S186" s="921"/>
      <c r="T186" s="917"/>
      <c r="U186" s="427" t="s">
        <v>371</v>
      </c>
      <c r="V186" s="914"/>
      <c r="W186" s="917"/>
      <c r="X186" s="915"/>
      <c r="Y186" s="920"/>
      <c r="Z186" s="914"/>
      <c r="AA186" s="915"/>
      <c r="AB186" s="914" t="s">
        <v>378</v>
      </c>
      <c r="AC186" s="917"/>
      <c r="AD186" s="915"/>
      <c r="AE186" s="510"/>
      <c r="AF186" s="513"/>
    </row>
    <row r="187" spans="17:32" ht="19.5" customHeight="1">
      <c r="Q187" s="510"/>
      <c r="R187" s="510"/>
      <c r="S187" s="921"/>
      <c r="T187" s="916" t="s">
        <v>373</v>
      </c>
      <c r="U187" s="576" t="s">
        <v>54</v>
      </c>
      <c r="V187" s="912" t="s">
        <v>367</v>
      </c>
      <c r="W187" s="913"/>
      <c r="X187" s="919" t="s">
        <v>368</v>
      </c>
      <c r="Y187" s="919" t="s">
        <v>369</v>
      </c>
      <c r="Z187" s="912" t="s">
        <v>374</v>
      </c>
      <c r="AA187" s="913"/>
      <c r="AB187" s="912" t="s">
        <v>379</v>
      </c>
      <c r="AC187" s="916"/>
      <c r="AD187" s="913"/>
      <c r="AE187" s="510"/>
      <c r="AF187" s="513"/>
    </row>
    <row r="188" spans="17:32" ht="19.5" customHeight="1" thickBot="1">
      <c r="Q188" s="510"/>
      <c r="R188" s="510"/>
      <c r="S188" s="914"/>
      <c r="T188" s="917"/>
      <c r="U188" s="581" t="s">
        <v>371</v>
      </c>
      <c r="V188" s="914"/>
      <c r="W188" s="915"/>
      <c r="X188" s="920"/>
      <c r="Y188" s="920"/>
      <c r="Z188" s="914"/>
      <c r="AA188" s="915"/>
      <c r="AB188" s="914" t="s">
        <v>380</v>
      </c>
      <c r="AC188" s="917"/>
      <c r="AD188" s="915"/>
      <c r="AE188" s="510"/>
      <c r="AF188" s="513"/>
    </row>
    <row r="189" spans="17:32" ht="19.5" customHeight="1">
      <c r="Q189" s="510"/>
      <c r="R189" s="510"/>
      <c r="S189" s="468" t="s">
        <v>365</v>
      </c>
      <c r="T189" s="584" t="s">
        <v>381</v>
      </c>
      <c r="U189" s="585"/>
      <c r="V189" s="510"/>
      <c r="W189" s="510"/>
      <c r="X189" s="510"/>
      <c r="Y189" s="510"/>
      <c r="Z189" s="510"/>
      <c r="AA189" s="507"/>
      <c r="AB189" s="507"/>
      <c r="AC189" s="510"/>
      <c r="AD189" s="510"/>
      <c r="AE189" s="510"/>
      <c r="AF189" s="513"/>
    </row>
    <row r="190" spans="17:32" ht="19.5" customHeight="1">
      <c r="Q190" s="510"/>
      <c r="R190" s="510"/>
      <c r="S190" s="468" t="s">
        <v>376</v>
      </c>
      <c r="T190" s="584" t="s">
        <v>382</v>
      </c>
      <c r="U190" s="585"/>
      <c r="V190" s="510"/>
      <c r="W190" s="510"/>
      <c r="X190" s="510"/>
      <c r="Y190" s="510"/>
      <c r="Z190" s="510"/>
      <c r="AA190" s="507"/>
      <c r="AB190" s="507"/>
      <c r="AC190" s="510"/>
      <c r="AD190" s="510"/>
      <c r="AE190" s="510"/>
      <c r="AF190" s="513"/>
    </row>
    <row r="191" spans="17:32" ht="19.5" customHeight="1">
      <c r="Q191" s="510"/>
      <c r="R191" s="510"/>
      <c r="S191" s="468" t="s">
        <v>379</v>
      </c>
      <c r="T191" s="584" t="s">
        <v>383</v>
      </c>
      <c r="U191" s="510"/>
      <c r="V191" s="510"/>
      <c r="W191" s="510"/>
      <c r="X191" s="510"/>
      <c r="Y191" s="510"/>
      <c r="Z191" s="510"/>
      <c r="AA191" s="507"/>
      <c r="AB191" s="507"/>
      <c r="AC191" s="510"/>
      <c r="AD191" s="510"/>
      <c r="AE191" s="510"/>
      <c r="AF191" s="513"/>
    </row>
    <row r="192" spans="17:32" ht="19.5" customHeight="1">
      <c r="Q192" s="510"/>
      <c r="R192" s="510"/>
      <c r="T192" s="584"/>
      <c r="U192" s="510"/>
      <c r="V192" s="510"/>
      <c r="W192" s="510"/>
      <c r="X192" s="510"/>
      <c r="Y192" s="510"/>
      <c r="Z192" s="510"/>
      <c r="AA192" s="507"/>
      <c r="AB192" s="507"/>
      <c r="AC192" s="510"/>
      <c r="AD192" s="510"/>
      <c r="AE192" s="510"/>
      <c r="AF192" s="513"/>
    </row>
    <row r="193" spans="17:32" ht="19.5" customHeight="1">
      <c r="Q193" s="510"/>
      <c r="R193" s="510"/>
      <c r="S193" s="507"/>
      <c r="T193" s="507"/>
      <c r="U193" s="510"/>
      <c r="V193" s="510"/>
      <c r="W193" s="510"/>
      <c r="X193" s="510"/>
      <c r="Y193" s="510"/>
      <c r="Z193" s="510"/>
      <c r="AA193" s="507"/>
      <c r="AB193" s="507"/>
      <c r="AC193" s="510"/>
      <c r="AF193" s="513"/>
    </row>
    <row r="194" spans="17:32" ht="19.5" customHeight="1">
      <c r="Q194" s="510"/>
      <c r="R194" s="510"/>
      <c r="S194" s="507"/>
      <c r="T194" s="416"/>
      <c r="U194" s="510"/>
      <c r="V194" s="510"/>
      <c r="W194" s="523" t="s">
        <v>384</v>
      </c>
      <c r="X194" s="521">
        <f>COS(20*PI()/180)</f>
        <v>0.9396926207859084</v>
      </c>
      <c r="Y194" s="523" t="s">
        <v>259</v>
      </c>
      <c r="Z194" s="521">
        <f>AC70</f>
        <v>0.36397023426620234</v>
      </c>
      <c r="AA194" s="523" t="s">
        <v>385</v>
      </c>
      <c r="AB194" s="521">
        <f>SIN(20*PI()/180)</f>
        <v>0.3420201433256687</v>
      </c>
      <c r="AC194" s="754" t="s">
        <v>386</v>
      </c>
      <c r="AD194" s="755">
        <f>AA58</f>
        <v>5</v>
      </c>
      <c r="AF194" s="513"/>
    </row>
    <row r="195" spans="17:32" ht="19.5" customHeight="1">
      <c r="Q195" s="510"/>
      <c r="R195" s="510"/>
      <c r="S195" s="507"/>
      <c r="T195" s="507"/>
      <c r="U195" s="510"/>
      <c r="V195" s="510"/>
      <c r="Y195" s="586"/>
      <c r="Z195" s="586"/>
      <c r="AA195" s="148"/>
      <c r="AB195" s="148"/>
      <c r="AC195" s="510"/>
      <c r="AF195" s="513"/>
    </row>
    <row r="196" spans="17:32" ht="19.5" customHeight="1">
      <c r="Q196" s="510"/>
      <c r="R196" s="510"/>
      <c r="S196" s="507"/>
      <c r="T196" s="507"/>
      <c r="U196" s="510"/>
      <c r="V196" s="510"/>
      <c r="Y196" s="518" t="s">
        <v>248</v>
      </c>
      <c r="Z196" s="520">
        <f>AA57</f>
        <v>19.67622631920012</v>
      </c>
      <c r="AA196" s="587" t="s">
        <v>248</v>
      </c>
      <c r="AB196" s="519">
        <f>AD57</f>
        <v>85.26364738320052</v>
      </c>
      <c r="AC196" s="510"/>
      <c r="AD196" s="510"/>
      <c r="AE196" s="510"/>
      <c r="AF196" s="513"/>
    </row>
    <row r="197" spans="17:32" ht="19.5" customHeight="1">
      <c r="Q197" s="510"/>
      <c r="R197" s="510"/>
      <c r="S197" s="507"/>
      <c r="T197" s="416"/>
      <c r="U197" s="510"/>
      <c r="V197" s="510"/>
      <c r="Y197" s="504" t="s">
        <v>263</v>
      </c>
      <c r="Z197" s="588">
        <f>AA74</f>
        <v>0.25</v>
      </c>
      <c r="AA197" s="523" t="s">
        <v>264</v>
      </c>
      <c r="AB197" s="589">
        <f>AC74</f>
        <v>0.18840127289246428</v>
      </c>
      <c r="AC197" s="510"/>
      <c r="AD197" s="510"/>
      <c r="AE197" s="510"/>
      <c r="AF197" s="513"/>
    </row>
    <row r="198" spans="17:32" ht="19.5" customHeight="1">
      <c r="Q198" s="510"/>
      <c r="R198" s="510"/>
      <c r="S198" s="507"/>
      <c r="T198" s="507"/>
      <c r="U198" s="510"/>
      <c r="V198" s="510"/>
      <c r="W198" s="510"/>
      <c r="X198" s="510"/>
      <c r="Y198" s="510"/>
      <c r="Z198" s="510"/>
      <c r="AA198" s="507"/>
      <c r="AB198" s="507"/>
      <c r="AC198" s="510"/>
      <c r="AD198" s="510"/>
      <c r="AE198" s="510"/>
      <c r="AF198" s="513"/>
    </row>
    <row r="199" spans="17:32" ht="19.5" customHeight="1">
      <c r="Q199" s="510"/>
      <c r="R199" s="510"/>
      <c r="S199" s="507"/>
      <c r="T199" s="507"/>
      <c r="U199" s="510"/>
      <c r="V199" s="510"/>
      <c r="W199" s="510"/>
      <c r="X199" s="510"/>
      <c r="Y199" s="518" t="s">
        <v>243</v>
      </c>
      <c r="Z199" s="520">
        <f>$Z$197-1</f>
        <v>-0.75</v>
      </c>
      <c r="AA199" s="590"/>
      <c r="AB199" s="587" t="s">
        <v>244</v>
      </c>
      <c r="AC199" s="519">
        <f>$AB$197-1</f>
        <v>-0.8115987271075358</v>
      </c>
      <c r="AE199" s="510"/>
      <c r="AF199" s="513"/>
    </row>
    <row r="200" spans="17:32" ht="19.5" customHeight="1">
      <c r="Q200" s="510"/>
      <c r="R200" s="510"/>
      <c r="S200" s="416"/>
      <c r="T200" s="507"/>
      <c r="U200" s="510"/>
      <c r="V200" s="510"/>
      <c r="W200" s="510"/>
      <c r="X200" s="510"/>
      <c r="AA200" s="507"/>
      <c r="AB200" s="507"/>
      <c r="AC200" s="507"/>
      <c r="AD200" s="510"/>
      <c r="AE200" s="510"/>
      <c r="AF200" s="513"/>
    </row>
    <row r="201" spans="17:32" ht="19.5" customHeight="1">
      <c r="Q201" s="510"/>
      <c r="R201" s="510"/>
      <c r="S201" s="507"/>
      <c r="T201" s="507"/>
      <c r="U201" s="510"/>
      <c r="V201" s="510"/>
      <c r="W201" s="510"/>
      <c r="X201" s="510"/>
      <c r="Y201" s="518" t="s">
        <v>387</v>
      </c>
      <c r="Z201" s="520">
        <f>2/Z196*(PI()/2-AB205/AD194)-PI()/3</f>
        <v>-0.9033271953853855</v>
      </c>
      <c r="AA201" s="507"/>
      <c r="AB201" s="587" t="s">
        <v>388</v>
      </c>
      <c r="AC201" s="519">
        <f>2/AB196*(PI()/2-AB205/AD194)-PI()/3</f>
        <v>-1.0139966998555487</v>
      </c>
      <c r="AD201" s="510"/>
      <c r="AE201" s="510"/>
      <c r="AF201" s="513"/>
    </row>
    <row r="202" spans="17:32" ht="19.5" customHeight="1">
      <c r="Q202" s="510"/>
      <c r="R202" s="510"/>
      <c r="S202" s="507"/>
      <c r="T202" s="507"/>
      <c r="U202" s="510"/>
      <c r="V202" s="510"/>
      <c r="W202" s="510"/>
      <c r="X202" s="510"/>
      <c r="Y202" s="510"/>
      <c r="Z202" s="510"/>
      <c r="AA202" s="507"/>
      <c r="AB202" s="507"/>
      <c r="AC202" s="510"/>
      <c r="AD202" s="510"/>
      <c r="AE202" s="510"/>
      <c r="AF202" s="513"/>
    </row>
    <row r="203" spans="17:32" ht="19.5" customHeight="1">
      <c r="Q203" s="510"/>
      <c r="R203" s="510"/>
      <c r="S203" s="507"/>
      <c r="T203" s="416"/>
      <c r="U203" s="510"/>
      <c r="V203" s="510"/>
      <c r="Y203" s="510"/>
      <c r="Z203" s="510"/>
      <c r="AA203" s="507"/>
      <c r="AB203" s="507"/>
      <c r="AC203" s="510"/>
      <c r="AD203" s="510"/>
      <c r="AE203" s="510"/>
      <c r="AF203" s="513"/>
    </row>
    <row r="204" spans="17:32" ht="19.5" customHeight="1">
      <c r="Q204" s="510"/>
      <c r="R204" s="510"/>
      <c r="S204" s="507"/>
      <c r="T204" s="416"/>
      <c r="U204" s="510"/>
      <c r="V204" s="510"/>
      <c r="Y204" s="510"/>
      <c r="Z204" s="510"/>
      <c r="AA204" s="507"/>
      <c r="AB204" s="507"/>
      <c r="AC204" s="510"/>
      <c r="AD204" s="510"/>
      <c r="AE204" s="510"/>
      <c r="AF204" s="513"/>
    </row>
    <row r="205" spans="17:32" ht="19.5" customHeight="1">
      <c r="Q205" s="510"/>
      <c r="R205" s="510"/>
      <c r="S205" s="507"/>
      <c r="T205" s="507"/>
      <c r="U205" s="510"/>
      <c r="V205" s="510"/>
      <c r="W205" s="510"/>
      <c r="X205" s="510"/>
      <c r="AA205" s="523" t="s">
        <v>389</v>
      </c>
      <c r="AB205" s="521">
        <f>PI()/4*AD194-AB209*Z194-(1-AB194)*AB207/X194</f>
        <v>0.7769174300613393</v>
      </c>
      <c r="AC205" s="510"/>
      <c r="AD205" s="510"/>
      <c r="AE205" s="510"/>
      <c r="AF205" s="513"/>
    </row>
    <row r="206" ht="19.5" customHeight="1"/>
    <row r="207" spans="27:28" ht="19.5" customHeight="1">
      <c r="AA207" s="591" t="s">
        <v>247</v>
      </c>
      <c r="AB207" s="521">
        <f>AA56</f>
        <v>1.25</v>
      </c>
    </row>
    <row r="208" spans="1:27" ht="19.5" customHeight="1">
      <c r="A208" s="354"/>
      <c r="B208" s="354"/>
      <c r="G208" s="1"/>
      <c r="H208" s="1"/>
      <c r="N208" s="354"/>
      <c r="O208" s="147"/>
      <c r="P208" s="147"/>
      <c r="AA208" s="449"/>
    </row>
    <row r="209" spans="1:28" ht="19.5" customHeight="1">
      <c r="A209" s="354"/>
      <c r="B209" s="354"/>
      <c r="G209" s="1"/>
      <c r="H209" s="1"/>
      <c r="N209" s="354"/>
      <c r="O209" s="147"/>
      <c r="P209" s="147"/>
      <c r="AA209" s="523" t="s">
        <v>390</v>
      </c>
      <c r="AB209" s="521">
        <f>1.25*AA58</f>
        <v>6.25</v>
      </c>
    </row>
    <row r="210" spans="15:30" ht="19.5" customHeight="1" thickBot="1">
      <c r="O210" s="147"/>
      <c r="P210" s="147"/>
      <c r="AD210" s="357"/>
    </row>
    <row r="211" spans="17:30" ht="19.5" customHeight="1" thickBot="1">
      <c r="Q211" s="357"/>
      <c r="R211" s="357"/>
      <c r="S211" s="416"/>
      <c r="T211" s="918" t="str">
        <f>B16</f>
        <v>Helis faktörü </v>
      </c>
      <c r="U211" s="918"/>
      <c r="V211" s="918"/>
      <c r="W211" s="593" t="s">
        <v>391</v>
      </c>
      <c r="X211" s="357"/>
      <c r="Y211" s="594" t="s">
        <v>392</v>
      </c>
      <c r="Z211" s="595">
        <f>(1.2+0.13*Z213)*Z215^(1/(1.21+(2.3/Z213)))</f>
        <v>1.758800363701726</v>
      </c>
      <c r="AA211" s="596"/>
      <c r="AC211" s="594" t="s">
        <v>393</v>
      </c>
      <c r="AD211" s="595">
        <f>(1.2+0.13*AC213)*AC215^(1/(1.21+2.3/AC213))</f>
        <v>1.9986247809284443</v>
      </c>
    </row>
    <row r="212" spans="17:29" ht="19.5" customHeight="1">
      <c r="Q212" s="357"/>
      <c r="R212" s="357"/>
      <c r="S212" s="416"/>
      <c r="T212" s="416"/>
      <c r="U212" s="357"/>
      <c r="V212" s="357"/>
      <c r="W212" s="357"/>
      <c r="X212" s="357"/>
      <c r="Y212" s="357"/>
      <c r="Z212" s="357"/>
      <c r="AA212" s="416"/>
      <c r="AB212" s="416"/>
      <c r="AC212" s="357"/>
    </row>
    <row r="213" spans="17:29" ht="19.5" customHeight="1">
      <c r="Q213" s="357"/>
      <c r="R213" s="357"/>
      <c r="S213" s="416"/>
      <c r="T213" s="416"/>
      <c r="U213" s="357"/>
      <c r="V213" s="357"/>
      <c r="W213" s="357"/>
      <c r="X213" s="357"/>
      <c r="Y213" s="597" t="s">
        <v>394</v>
      </c>
      <c r="Z213" s="432">
        <f>Z217/Z228</f>
        <v>1.0484561057188724</v>
      </c>
      <c r="AA213" s="596"/>
      <c r="AB213" s="598" t="s">
        <v>395</v>
      </c>
      <c r="AC213" s="432">
        <f>AD217/AD228</f>
        <v>1.1823791673919282</v>
      </c>
    </row>
    <row r="214" spans="17:29" ht="19.5" customHeight="1">
      <c r="Q214" s="357"/>
      <c r="R214" s="357"/>
      <c r="S214" s="416"/>
      <c r="T214" s="416"/>
      <c r="U214" s="357"/>
      <c r="V214" s="357"/>
      <c r="W214" s="357"/>
      <c r="X214" s="357"/>
      <c r="Y214" s="357"/>
      <c r="Z214" s="357"/>
      <c r="AA214" s="416"/>
      <c r="AB214" s="416"/>
      <c r="AC214" s="357"/>
    </row>
    <row r="215" spans="17:29" ht="19.5" customHeight="1">
      <c r="Q215" s="357"/>
      <c r="R215" s="357"/>
      <c r="S215" s="416"/>
      <c r="T215" s="416"/>
      <c r="U215" s="357"/>
      <c r="V215" s="357"/>
      <c r="W215" s="357"/>
      <c r="X215" s="357"/>
      <c r="Y215" s="597" t="s">
        <v>396</v>
      </c>
      <c r="Z215" s="432">
        <f>Z217/2/Z219</f>
        <v>2.5474473311487182</v>
      </c>
      <c r="AA215" s="596"/>
      <c r="AB215" s="598" t="s">
        <v>397</v>
      </c>
      <c r="AC215" s="432">
        <f>AD217/2/AD219</f>
        <v>3.418877037337295</v>
      </c>
    </row>
    <row r="216" spans="17:29" ht="19.5" customHeight="1" thickBot="1">
      <c r="Q216" s="357"/>
      <c r="R216" s="357"/>
      <c r="S216" s="416"/>
      <c r="T216" s="416"/>
      <c r="U216" s="357"/>
      <c r="V216" s="357"/>
      <c r="W216" s="357"/>
      <c r="X216" s="357"/>
      <c r="Y216" s="357"/>
      <c r="Z216" s="357"/>
      <c r="AA216" s="416"/>
      <c r="AB216" s="416"/>
      <c r="AC216" s="357"/>
    </row>
    <row r="217" spans="17:30" ht="19.5" customHeight="1" thickBot="1">
      <c r="Q217" s="357"/>
      <c r="R217" s="357"/>
      <c r="S217" s="416"/>
      <c r="T217" s="416"/>
      <c r="U217" s="357"/>
      <c r="V217" s="357"/>
      <c r="W217" s="357"/>
      <c r="X217" s="357"/>
      <c r="Y217" s="599" t="s">
        <v>398</v>
      </c>
      <c r="Z217" s="600">
        <f>Z222*AA50</f>
        <v>10.326235204844195</v>
      </c>
      <c r="AA217" s="416"/>
      <c r="AC217" s="599" t="s">
        <v>399</v>
      </c>
      <c r="AD217" s="600">
        <f>AC222*AD50</f>
        <v>11.493503501961246</v>
      </c>
    </row>
    <row r="218" spans="17:30" ht="19.5" customHeight="1" thickBot="1">
      <c r="Q218" s="357"/>
      <c r="R218" s="357"/>
      <c r="S218" s="416"/>
      <c r="T218" s="416"/>
      <c r="U218" s="357"/>
      <c r="V218" s="357"/>
      <c r="W218" s="357"/>
      <c r="X218" s="357"/>
      <c r="Y218" s="357"/>
      <c r="Z218" s="357"/>
      <c r="AA218" s="416"/>
      <c r="AC218" s="416"/>
      <c r="AD218" s="357"/>
    </row>
    <row r="219" spans="17:30" ht="19.5" customHeight="1" thickBot="1">
      <c r="Q219" s="357"/>
      <c r="R219" s="357"/>
      <c r="S219" s="416"/>
      <c r="T219" s="416"/>
      <c r="U219" s="357"/>
      <c r="V219" s="357"/>
      <c r="W219" s="357"/>
      <c r="X219" s="357"/>
      <c r="Y219" s="601" t="s">
        <v>400</v>
      </c>
      <c r="Z219" s="600">
        <f>Z221+2*Z222*Z223^2/Z224/(Z225*Z224^2-2*Z223)</f>
        <v>2.026780903098749</v>
      </c>
      <c r="AA219" s="596"/>
      <c r="AC219" s="601" t="s">
        <v>401</v>
      </c>
      <c r="AD219" s="600">
        <f>AC221+2*AC222*AC223^2/AC224/(AC225*AC224^2-2*AC223)</f>
        <v>1.6808886918777088</v>
      </c>
    </row>
    <row r="220" spans="17:29" ht="19.5" customHeight="1">
      <c r="Q220" s="357"/>
      <c r="R220" s="357"/>
      <c r="S220" s="416"/>
      <c r="T220" s="416"/>
      <c r="U220" s="357"/>
      <c r="V220" s="357"/>
      <c r="W220" s="357"/>
      <c r="X220" s="357"/>
      <c r="Y220" s="357"/>
      <c r="Z220" s="357"/>
      <c r="AA220" s="416"/>
      <c r="AB220" s="416"/>
      <c r="AC220" s="357"/>
    </row>
    <row r="221" spans="17:29" ht="19.5" customHeight="1">
      <c r="Q221" s="357"/>
      <c r="R221" s="357"/>
      <c r="S221" s="416"/>
      <c r="T221" s="416"/>
      <c r="U221" s="357"/>
      <c r="V221" s="357"/>
      <c r="W221" s="357"/>
      <c r="X221" s="357"/>
      <c r="Y221" s="602" t="s">
        <v>247</v>
      </c>
      <c r="Z221" s="512">
        <f>AA56</f>
        <v>1.25</v>
      </c>
      <c r="AA221" s="416"/>
      <c r="AB221" s="603" t="s">
        <v>247</v>
      </c>
      <c r="AC221" s="357">
        <f>Z221</f>
        <v>1.25</v>
      </c>
    </row>
    <row r="222" spans="17:29" ht="19.5" customHeight="1">
      <c r="Q222" s="357"/>
      <c r="R222" s="357"/>
      <c r="S222" s="416"/>
      <c r="T222" s="416"/>
      <c r="U222" s="357"/>
      <c r="V222" s="357"/>
      <c r="W222" s="357"/>
      <c r="X222" s="357"/>
      <c r="Y222" s="602" t="s">
        <v>250</v>
      </c>
      <c r="Z222" s="512">
        <f>AA58</f>
        <v>5</v>
      </c>
      <c r="AA222" s="416"/>
      <c r="AB222" s="603" t="s">
        <v>250</v>
      </c>
      <c r="AC222" s="512">
        <f>Z222</f>
        <v>5</v>
      </c>
    </row>
    <row r="223" spans="17:29" ht="19.5" customHeight="1">
      <c r="Q223" s="357"/>
      <c r="R223" s="357"/>
      <c r="S223" s="416"/>
      <c r="T223" s="416"/>
      <c r="U223" s="357"/>
      <c r="V223" s="357"/>
      <c r="W223" s="357"/>
      <c r="X223" s="357"/>
      <c r="Y223" s="602" t="s">
        <v>402</v>
      </c>
      <c r="Z223" s="512">
        <f>AA54</f>
        <v>-0.75</v>
      </c>
      <c r="AA223" s="416"/>
      <c r="AB223" s="603" t="s">
        <v>403</v>
      </c>
      <c r="AC223" s="512">
        <f>AD54</f>
        <v>-0.8115987271075358</v>
      </c>
    </row>
    <row r="224" spans="17:29" ht="19.5" customHeight="1">
      <c r="Q224" s="357"/>
      <c r="R224" s="357"/>
      <c r="S224" s="416"/>
      <c r="T224" s="416"/>
      <c r="U224" s="357"/>
      <c r="V224" s="357"/>
      <c r="W224" s="357"/>
      <c r="X224" s="357"/>
      <c r="Y224" s="602" t="s">
        <v>404</v>
      </c>
      <c r="Z224" s="357">
        <f>COS(AA55)</f>
        <v>0.6811992142734582</v>
      </c>
      <c r="AA224" s="416"/>
      <c r="AB224" s="603" t="s">
        <v>405</v>
      </c>
      <c r="AC224" s="357">
        <f>COS(AD55)</f>
        <v>0.552624907529928</v>
      </c>
    </row>
    <row r="225" spans="17:29" ht="19.5" customHeight="1">
      <c r="Q225" s="357"/>
      <c r="R225" s="357"/>
      <c r="S225" s="416"/>
      <c r="T225" s="416"/>
      <c r="U225" s="357"/>
      <c r="V225" s="357"/>
      <c r="W225" s="357"/>
      <c r="X225" s="357"/>
      <c r="Y225" s="602" t="s">
        <v>406</v>
      </c>
      <c r="Z225" s="512">
        <f>AA57</f>
        <v>19.67622631920012</v>
      </c>
      <c r="AA225" s="416"/>
      <c r="AB225" s="603" t="s">
        <v>407</v>
      </c>
      <c r="AC225" s="512">
        <f>AD57</f>
        <v>85.26364738320052</v>
      </c>
    </row>
    <row r="226" spans="17:29" ht="19.5" customHeight="1">
      <c r="Q226" s="357"/>
      <c r="R226" s="357"/>
      <c r="S226" s="416"/>
      <c r="T226" s="416"/>
      <c r="U226" s="357"/>
      <c r="V226" s="357"/>
      <c r="W226" s="357"/>
      <c r="X226" s="357"/>
      <c r="Y226" s="357"/>
      <c r="Z226" s="357"/>
      <c r="AA226" s="416"/>
      <c r="AB226" s="416"/>
      <c r="AC226" s="357"/>
    </row>
    <row r="227" spans="17:29" ht="19.5" customHeight="1" thickBot="1">
      <c r="Q227" s="357"/>
      <c r="R227" s="357"/>
      <c r="S227" s="416"/>
      <c r="T227" s="416"/>
      <c r="U227" s="357"/>
      <c r="V227" s="357"/>
      <c r="W227" s="357"/>
      <c r="X227" s="357"/>
      <c r="AA227" s="416"/>
      <c r="AB227" s="416"/>
      <c r="AC227" s="357"/>
    </row>
    <row r="228" spans="17:30" ht="19.5" customHeight="1" thickBot="1">
      <c r="Q228" s="357"/>
      <c r="R228" s="357"/>
      <c r="S228" s="416"/>
      <c r="T228" s="416"/>
      <c r="U228" s="357"/>
      <c r="V228" s="357"/>
      <c r="W228" s="357"/>
      <c r="X228" s="357"/>
      <c r="Y228" s="599" t="s">
        <v>408</v>
      </c>
      <c r="Z228" s="600">
        <f>Z222*AA48</f>
        <v>9.848991434661947</v>
      </c>
      <c r="AA228" s="416"/>
      <c r="AC228" s="599" t="s">
        <v>409</v>
      </c>
      <c r="AD228" s="600">
        <f>AC222*AD48</f>
        <v>9.720657991051569</v>
      </c>
    </row>
    <row r="229" ht="19.5" customHeight="1"/>
    <row r="230" spans="29:30" ht="19.5" customHeight="1" thickBot="1">
      <c r="AC230" s="1"/>
      <c r="AD230" s="1"/>
    </row>
    <row r="231" spans="17:32" ht="19.5" customHeight="1" thickBot="1">
      <c r="Q231" s="355"/>
      <c r="R231" s="355"/>
      <c r="S231" s="605"/>
      <c r="T231" s="606" t="str">
        <f>B23</f>
        <v>Diş dibi form mukavemeti</v>
      </c>
      <c r="U231" s="607"/>
      <c r="V231" s="607"/>
      <c r="W231" s="608" t="s">
        <v>100</v>
      </c>
      <c r="X231" s="357"/>
      <c r="Y231" s="357"/>
      <c r="Z231" s="357"/>
      <c r="AA231" s="416"/>
      <c r="AC231" s="594" t="s">
        <v>410</v>
      </c>
      <c r="AD231" s="788">
        <f>U237*AD242*AD245*AD255*AD258*AD270</f>
        <v>637.7697773674023</v>
      </c>
      <c r="AE231" s="357"/>
      <c r="AF231" s="1"/>
    </row>
    <row r="232" spans="17:32" ht="19.5" customHeight="1" thickBot="1">
      <c r="Q232" s="355"/>
      <c r="R232" s="355"/>
      <c r="S232" s="605"/>
      <c r="T232" s="443"/>
      <c r="U232" s="355"/>
      <c r="V232" s="355"/>
      <c r="W232" s="355"/>
      <c r="X232" s="357"/>
      <c r="Y232" s="355"/>
      <c r="Z232" s="355"/>
      <c r="AA232" s="443"/>
      <c r="AC232" s="443"/>
      <c r="AD232" s="355"/>
      <c r="AE232" s="355"/>
      <c r="AF232" s="1"/>
    </row>
    <row r="233" spans="17:32" ht="19.5" customHeight="1" thickBot="1">
      <c r="Q233" s="355"/>
      <c r="R233" s="355"/>
      <c r="S233" s="605"/>
      <c r="X233" s="357"/>
      <c r="AC233" s="594" t="s">
        <v>411</v>
      </c>
      <c r="AD233" s="609">
        <f>U238*AD242*AD245*AD255*AD258*AD270</f>
        <v>637.7697773674023</v>
      </c>
      <c r="AF233" s="1"/>
    </row>
    <row r="234" spans="17:32" ht="19.5" customHeight="1">
      <c r="Q234" s="355"/>
      <c r="R234" s="355"/>
      <c r="S234" s="605"/>
      <c r="T234" s="416"/>
      <c r="U234" s="357"/>
      <c r="V234" s="357"/>
      <c r="W234" s="357"/>
      <c r="X234" s="357"/>
      <c r="Y234" s="357"/>
      <c r="Z234" s="357"/>
      <c r="AA234" s="416"/>
      <c r="AB234" s="416"/>
      <c r="AC234" s="357"/>
      <c r="AD234" s="357"/>
      <c r="AE234" s="357"/>
      <c r="AF234" s="1"/>
    </row>
    <row r="235" spans="17:32" ht="19.5" customHeight="1">
      <c r="Q235" s="355"/>
      <c r="R235" s="355"/>
      <c r="S235" s="605"/>
      <c r="T235" s="416"/>
      <c r="U235" s="357"/>
      <c r="V235" s="357"/>
      <c r="W235" s="357"/>
      <c r="X235" s="357"/>
      <c r="Y235" s="357"/>
      <c r="Z235" s="355"/>
      <c r="AB235" s="610" t="s">
        <v>412</v>
      </c>
      <c r="AC235" s="516">
        <v>2</v>
      </c>
      <c r="AD235" s="357"/>
      <c r="AE235" s="357"/>
      <c r="AF235" s="1"/>
    </row>
    <row r="236" spans="17:32" ht="19.5" customHeight="1">
      <c r="Q236" s="355"/>
      <c r="R236" s="355"/>
      <c r="S236" s="605"/>
      <c r="T236" s="416"/>
      <c r="U236" s="357"/>
      <c r="V236" s="357"/>
      <c r="W236" s="357"/>
      <c r="X236" s="357"/>
      <c r="Y236" s="357"/>
      <c r="Z236" s="355"/>
      <c r="AB236" s="610" t="s">
        <v>413</v>
      </c>
      <c r="AC236" s="516">
        <f>AD245</f>
        <v>1</v>
      </c>
      <c r="AD236" s="357"/>
      <c r="AE236" s="357"/>
      <c r="AF236" s="1"/>
    </row>
    <row r="237" spans="17:32" ht="19.5" customHeight="1">
      <c r="Q237" s="355"/>
      <c r="R237" s="355"/>
      <c r="S237" s="605"/>
      <c r="T237" s="798" t="s">
        <v>602</v>
      </c>
      <c r="U237" s="799">
        <f>E8</f>
        <v>310</v>
      </c>
      <c r="V237" s="355" t="s">
        <v>414</v>
      </c>
      <c r="W237" s="357"/>
      <c r="X237" s="357"/>
      <c r="Y237" s="357"/>
      <c r="Z237" s="355"/>
      <c r="AB237" s="610" t="s">
        <v>415</v>
      </c>
      <c r="AC237" s="516">
        <f>AD255</f>
        <v>1</v>
      </c>
      <c r="AD237" s="357"/>
      <c r="AE237" s="357"/>
      <c r="AF237" s="1"/>
    </row>
    <row r="238" spans="17:32" ht="19.5" customHeight="1">
      <c r="Q238" s="355"/>
      <c r="R238" s="355"/>
      <c r="S238" s="605"/>
      <c r="T238" s="798" t="s">
        <v>603</v>
      </c>
      <c r="U238" s="799">
        <f>F8</f>
        <v>310</v>
      </c>
      <c r="V238" s="355" t="s">
        <v>414</v>
      </c>
      <c r="W238" s="357"/>
      <c r="X238" s="357"/>
      <c r="Y238" s="357"/>
      <c r="Z238" s="355"/>
      <c r="AB238" s="610" t="s">
        <v>416</v>
      </c>
      <c r="AC238" s="516">
        <f>AD258</f>
        <v>1.0286609312377457</v>
      </c>
      <c r="AD238" s="357"/>
      <c r="AE238" s="357"/>
      <c r="AF238" s="1"/>
    </row>
    <row r="239" spans="17:32" ht="19.5" customHeight="1">
      <c r="Q239" s="355"/>
      <c r="R239" s="355"/>
      <c r="S239" s="605"/>
      <c r="T239" s="416"/>
      <c r="U239" s="357"/>
      <c r="V239" s="357"/>
      <c r="W239" s="357"/>
      <c r="X239" s="357"/>
      <c r="Y239" s="357"/>
      <c r="Z239" s="355"/>
      <c r="AB239" s="610" t="s">
        <v>417</v>
      </c>
      <c r="AC239" s="515">
        <f>AD270</f>
        <v>1</v>
      </c>
      <c r="AD239" s="357"/>
      <c r="AE239" s="357"/>
      <c r="AF239" s="1"/>
    </row>
    <row r="240" spans="17:32" ht="19.5" customHeight="1">
      <c r="Q240" s="355"/>
      <c r="R240" s="355"/>
      <c r="S240" s="605"/>
      <c r="T240" s="443"/>
      <c r="U240" s="355"/>
      <c r="V240" s="357"/>
      <c r="W240" s="357"/>
      <c r="X240" s="357"/>
      <c r="Y240" s="357"/>
      <c r="Z240" s="357"/>
      <c r="AA240" s="416"/>
      <c r="AB240" s="416"/>
      <c r="AC240" s="357"/>
      <c r="AD240" s="357"/>
      <c r="AE240" s="357"/>
      <c r="AF240" s="1"/>
    </row>
    <row r="241" spans="17:32" ht="19.5" customHeight="1" thickBot="1">
      <c r="Q241" s="355"/>
      <c r="R241" s="355"/>
      <c r="S241" s="605"/>
      <c r="T241" s="443"/>
      <c r="U241" s="355"/>
      <c r="V241" s="357"/>
      <c r="W241" s="357"/>
      <c r="X241" s="357"/>
      <c r="Y241" s="357"/>
      <c r="Z241" s="357"/>
      <c r="AA241" s="416"/>
      <c r="AB241" s="416"/>
      <c r="AC241" s="357"/>
      <c r="AD241" s="357"/>
      <c r="AE241" s="357"/>
      <c r="AF241" s="1"/>
    </row>
    <row r="242" spans="17:32" ht="19.5" customHeight="1" thickBot="1">
      <c r="Q242" s="355"/>
      <c r="R242" s="355"/>
      <c r="S242" s="605"/>
      <c r="T242" s="416"/>
      <c r="U242" s="357"/>
      <c r="V242" s="357"/>
      <c r="W242" s="357"/>
      <c r="X242" s="357"/>
      <c r="Y242" s="357"/>
      <c r="AC242" s="611" t="s">
        <v>412</v>
      </c>
      <c r="AD242" s="531">
        <v>2</v>
      </c>
      <c r="AE242" s="357"/>
      <c r="AF242" s="1"/>
    </row>
    <row r="243" spans="17:32" ht="19.5" customHeight="1">
      <c r="Q243" s="355"/>
      <c r="R243" s="355"/>
      <c r="S243" s="605"/>
      <c r="T243" s="416"/>
      <c r="U243" s="357"/>
      <c r="V243" s="357"/>
      <c r="W243" s="357"/>
      <c r="X243" s="357"/>
      <c r="Y243" s="357"/>
      <c r="Z243" s="357"/>
      <c r="AA243" s="416"/>
      <c r="AB243" s="416"/>
      <c r="AC243" s="357"/>
      <c r="AD243" s="357"/>
      <c r="AE243" s="357"/>
      <c r="AF243" s="1"/>
    </row>
    <row r="244" spans="17:32" ht="19.5" customHeight="1" thickBot="1">
      <c r="Q244" s="355"/>
      <c r="R244" s="355"/>
      <c r="S244" s="605"/>
      <c r="T244" s="416"/>
      <c r="U244" s="357"/>
      <c r="V244" s="357"/>
      <c r="W244" s="357"/>
      <c r="X244" s="357"/>
      <c r="Y244" s="357"/>
      <c r="Z244" s="357"/>
      <c r="AA244" s="416"/>
      <c r="AB244" s="416"/>
      <c r="AC244" s="357"/>
      <c r="AD244" s="357"/>
      <c r="AE244" s="357"/>
      <c r="AF244" s="1"/>
    </row>
    <row r="245" spans="17:32" ht="19.5" customHeight="1" thickBot="1">
      <c r="Q245" s="355"/>
      <c r="R245" s="355"/>
      <c r="S245" s="605"/>
      <c r="T245" s="612" t="str">
        <f>B26</f>
        <v>Dayanma süresi faktörü </v>
      </c>
      <c r="U245" s="613"/>
      <c r="V245" s="355" t="s">
        <v>418</v>
      </c>
      <c r="W245" s="355"/>
      <c r="X245" s="800" t="s">
        <v>419</v>
      </c>
      <c r="Y245" s="786">
        <f>1!F24</f>
        <v>3000000</v>
      </c>
      <c r="AC245" s="611" t="s">
        <v>413</v>
      </c>
      <c r="AD245" s="531">
        <f>IF(Y245&lt;999,IF(S252&lt;1.5,X249,IF(S252&lt;2.5,X250,X251)),IF(Y245&gt;2.9999*10^6,AA249,IF(S252&lt;1.5,AC249,IF(S252&lt;2.5,AC250,AC251))))</f>
        <v>1</v>
      </c>
      <c r="AE245" s="357"/>
      <c r="AF245" s="1"/>
    </row>
    <row r="246" spans="17:32" ht="19.5" customHeight="1" thickBot="1">
      <c r="Q246" s="355"/>
      <c r="R246" s="355"/>
      <c r="S246" s="605"/>
      <c r="T246" s="416"/>
      <c r="U246" s="357"/>
      <c r="V246" s="357"/>
      <c r="W246" s="357"/>
      <c r="X246" s="357"/>
      <c r="Y246" s="357"/>
      <c r="Z246" s="357"/>
      <c r="AA246" s="416"/>
      <c r="AB246" s="416"/>
      <c r="AC246" s="357"/>
      <c r="AD246" s="357"/>
      <c r="AE246" s="357"/>
      <c r="AF246" s="1"/>
    </row>
    <row r="247" spans="17:32" ht="19.5" customHeight="1">
      <c r="Q247" s="355"/>
      <c r="R247" s="355"/>
      <c r="S247" s="887" t="s">
        <v>351</v>
      </c>
      <c r="T247" s="888"/>
      <c r="U247" s="888"/>
      <c r="V247" s="888"/>
      <c r="W247" s="888"/>
      <c r="X247" s="888" t="s">
        <v>420</v>
      </c>
      <c r="Y247" s="888"/>
      <c r="Z247" s="888"/>
      <c r="AA247" s="888"/>
      <c r="AB247" s="890"/>
      <c r="AC247" s="355"/>
      <c r="AD247" s="355"/>
      <c r="AE247" s="355"/>
      <c r="AF247" s="1"/>
    </row>
    <row r="248" spans="17:32" ht="39.75" customHeight="1">
      <c r="Q248" s="355"/>
      <c r="R248" s="355"/>
      <c r="S248" s="889"/>
      <c r="T248" s="880"/>
      <c r="U248" s="880"/>
      <c r="V248" s="880"/>
      <c r="W248" s="880"/>
      <c r="X248" s="437" t="s">
        <v>421</v>
      </c>
      <c r="Y248" s="880" t="s">
        <v>422</v>
      </c>
      <c r="Z248" s="880"/>
      <c r="AA248" s="910" t="s">
        <v>423</v>
      </c>
      <c r="AB248" s="911"/>
      <c r="AC248" s="355"/>
      <c r="AD248" s="355"/>
      <c r="AE248" s="355"/>
      <c r="AF248" s="1"/>
    </row>
    <row r="249" spans="17:32" ht="39.75" customHeight="1">
      <c r="Q249" s="355"/>
      <c r="R249" s="355"/>
      <c r="S249" s="902" t="str">
        <f>1!L37</f>
        <v>1 - Demir döküm (GG, GGG)</v>
      </c>
      <c r="T249" s="903"/>
      <c r="U249" s="903"/>
      <c r="V249" s="903"/>
      <c r="W249" s="903"/>
      <c r="X249" s="548">
        <v>1.2</v>
      </c>
      <c r="Y249" s="900"/>
      <c r="Z249" s="900"/>
      <c r="AA249" s="904">
        <v>1</v>
      </c>
      <c r="AB249" s="905"/>
      <c r="AC249" s="546">
        <f>(3*10^6/Y245)^0.012</f>
        <v>1</v>
      </c>
      <c r="AD249" s="355"/>
      <c r="AE249" s="355"/>
      <c r="AF249" s="1"/>
    </row>
    <row r="250" spans="17:32" ht="39.75" customHeight="1">
      <c r="Q250" s="355"/>
      <c r="R250" s="355"/>
      <c r="S250" s="902" t="str">
        <f>1!L38</f>
        <v>2 - Bütün çelikler, (Rm&lt;800 N/mm2, St, GS)</v>
      </c>
      <c r="T250" s="903"/>
      <c r="U250" s="903"/>
      <c r="V250" s="903"/>
      <c r="W250" s="903"/>
      <c r="X250" s="548">
        <v>1.6</v>
      </c>
      <c r="Y250" s="900"/>
      <c r="Z250" s="900"/>
      <c r="AA250" s="904"/>
      <c r="AB250" s="905"/>
      <c r="AC250" s="546">
        <f>(3*10^6/Y245)^0.059</f>
        <v>1</v>
      </c>
      <c r="AD250" s="355"/>
      <c r="AE250" s="355"/>
      <c r="AF250" s="614"/>
    </row>
    <row r="251" spans="17:32" ht="39.75" customHeight="1" thickBot="1">
      <c r="Q251" s="355"/>
      <c r="R251" s="355"/>
      <c r="S251" s="908" t="str">
        <f>1!L39</f>
        <v>3 - Bütün sertleştirilmiş çelikler, (Rm&gt;800 N/mm2)</v>
      </c>
      <c r="T251" s="909"/>
      <c r="U251" s="909"/>
      <c r="V251" s="909"/>
      <c r="W251" s="909"/>
      <c r="X251" s="615">
        <v>2.5</v>
      </c>
      <c r="Y251" s="898"/>
      <c r="Z251" s="898"/>
      <c r="AA251" s="906"/>
      <c r="AB251" s="907"/>
      <c r="AC251" s="546">
        <f>(3*10^6/Y245)^0.115</f>
        <v>1</v>
      </c>
      <c r="AD251" s="355"/>
      <c r="AE251" s="355"/>
      <c r="AF251" s="614"/>
    </row>
    <row r="252" spans="17:32" ht="19.5" customHeight="1">
      <c r="Q252" s="355"/>
      <c r="R252" s="355"/>
      <c r="S252" s="778">
        <f>S162</f>
        <v>3</v>
      </c>
      <c r="T252" s="443"/>
      <c r="U252" s="355"/>
      <c r="V252" s="355"/>
      <c r="W252" s="355"/>
      <c r="X252" s="357"/>
      <c r="Y252" s="355"/>
      <c r="Z252" s="355"/>
      <c r="AA252" s="443"/>
      <c r="AB252" s="443"/>
      <c r="AC252" s="355"/>
      <c r="AD252" s="355"/>
      <c r="AE252" s="355"/>
      <c r="AF252" s="614"/>
    </row>
    <row r="253" spans="17:32" ht="19.5" customHeight="1">
      <c r="Q253" s="355"/>
      <c r="R253" s="355"/>
      <c r="S253" s="605"/>
      <c r="T253" s="443"/>
      <c r="U253" s="355"/>
      <c r="V253" s="355"/>
      <c r="W253" s="355"/>
      <c r="X253" s="357"/>
      <c r="Y253" s="355"/>
      <c r="Z253" s="355"/>
      <c r="AA253" s="443"/>
      <c r="AB253" s="443"/>
      <c r="AC253" s="355"/>
      <c r="AD253" s="355"/>
      <c r="AE253" s="355"/>
      <c r="AF253" s="614"/>
    </row>
    <row r="254" spans="17:32" ht="19.5" customHeight="1" thickBot="1">
      <c r="Q254" s="355"/>
      <c r="R254" s="355"/>
      <c r="S254" s="605"/>
      <c r="T254" s="443"/>
      <c r="U254" s="355"/>
      <c r="V254" s="355"/>
      <c r="W254" s="355"/>
      <c r="X254" s="357"/>
      <c r="Y254" s="355"/>
      <c r="Z254" s="355"/>
      <c r="AA254" s="443"/>
      <c r="AB254" s="616"/>
      <c r="AC254" s="617"/>
      <c r="AD254" s="355"/>
      <c r="AE254" s="355"/>
      <c r="AF254" s="614"/>
    </row>
    <row r="255" spans="17:32" ht="19.5" customHeight="1" thickBot="1">
      <c r="Q255" s="355"/>
      <c r="R255" s="355"/>
      <c r="S255" s="605"/>
      <c r="T255" s="443"/>
      <c r="U255" s="355"/>
      <c r="V255" s="355"/>
      <c r="W255" s="355"/>
      <c r="X255" s="357"/>
      <c r="Y255" s="355"/>
      <c r="Z255" s="355"/>
      <c r="AA255" s="443"/>
      <c r="AC255" s="611" t="s">
        <v>424</v>
      </c>
      <c r="AD255" s="531">
        <v>1</v>
      </c>
      <c r="AE255" s="355"/>
      <c r="AF255" s="1"/>
    </row>
    <row r="256" spans="17:32" ht="19.5" customHeight="1">
      <c r="Q256" s="355"/>
      <c r="R256" s="355"/>
      <c r="S256" s="605"/>
      <c r="T256" s="443"/>
      <c r="U256" s="355"/>
      <c r="V256" s="355"/>
      <c r="W256" s="355"/>
      <c r="X256" s="357"/>
      <c r="Y256" s="355"/>
      <c r="Z256" s="355"/>
      <c r="AA256" s="443"/>
      <c r="AB256" s="443"/>
      <c r="AC256" s="355"/>
      <c r="AD256" s="177"/>
      <c r="AE256" s="355"/>
      <c r="AF256" s="614"/>
    </row>
    <row r="257" spans="17:32" ht="19.5" customHeight="1" thickBot="1">
      <c r="Q257" s="355"/>
      <c r="R257" s="355"/>
      <c r="S257" s="605"/>
      <c r="T257" s="443"/>
      <c r="U257" s="355"/>
      <c r="V257" s="355"/>
      <c r="W257" s="355"/>
      <c r="X257" s="357"/>
      <c r="Y257" s="355"/>
      <c r="Z257" s="355"/>
      <c r="AA257" s="443"/>
      <c r="AB257" s="443"/>
      <c r="AC257" s="355"/>
      <c r="AD257" s="177"/>
      <c r="AE257" s="355"/>
      <c r="AF257" s="614"/>
    </row>
    <row r="258" spans="17:32" ht="19.5" customHeight="1" thickBot="1">
      <c r="Q258" s="355"/>
      <c r="R258" s="355"/>
      <c r="S258" s="605"/>
      <c r="T258" s="612" t="str">
        <f>B28</f>
        <v>Göreceli yüzey faktörü</v>
      </c>
      <c r="U258" s="613"/>
      <c r="V258" s="355" t="s">
        <v>425</v>
      </c>
      <c r="W258" s="355"/>
      <c r="X258" s="433" t="s">
        <v>426</v>
      </c>
      <c r="Y258" s="177">
        <f>(AA266+AC266)/2</f>
        <v>6.3</v>
      </c>
      <c r="Z258" s="355"/>
      <c r="AA258" s="443"/>
      <c r="AC258" s="611" t="s">
        <v>416</v>
      </c>
      <c r="AD258" s="531">
        <f>IF(Y258&lt;1,IF(S265&lt;1.5,Y262,IF(S265&lt;2.5,Y263,Y264)),IF(S265&lt;1.5,AD262,IF(S265&lt;2.5,AD263,AD264)))</f>
        <v>1.0286609312377457</v>
      </c>
      <c r="AE258" s="355"/>
      <c r="AF258" s="614"/>
    </row>
    <row r="259" spans="17:32" ht="19.5" customHeight="1" thickBot="1">
      <c r="Q259" s="355"/>
      <c r="R259" s="355"/>
      <c r="S259" s="605"/>
      <c r="T259" s="443"/>
      <c r="U259" s="355"/>
      <c r="V259" s="355"/>
      <c r="W259" s="355"/>
      <c r="X259" s="355"/>
      <c r="Y259" s="355"/>
      <c r="Z259" s="355"/>
      <c r="AA259" s="443"/>
      <c r="AB259" s="443"/>
      <c r="AC259" s="355"/>
      <c r="AD259" s="355"/>
      <c r="AE259" s="355"/>
      <c r="AF259" s="614"/>
    </row>
    <row r="260" spans="17:32" ht="19.5" customHeight="1">
      <c r="Q260" s="355"/>
      <c r="R260" s="355"/>
      <c r="S260" s="887" t="s">
        <v>351</v>
      </c>
      <c r="T260" s="888"/>
      <c r="U260" s="888"/>
      <c r="V260" s="888"/>
      <c r="W260" s="888"/>
      <c r="X260" s="896" t="s">
        <v>427</v>
      </c>
      <c r="Y260" s="896"/>
      <c r="Z260" s="896"/>
      <c r="AA260" s="896"/>
      <c r="AB260" s="896"/>
      <c r="AC260" s="897"/>
      <c r="AD260" s="355"/>
      <c r="AE260" s="355"/>
      <c r="AF260" s="614"/>
    </row>
    <row r="261" spans="17:32" ht="19.5" customHeight="1">
      <c r="Q261" s="355"/>
      <c r="R261" s="355"/>
      <c r="S261" s="889"/>
      <c r="T261" s="880"/>
      <c r="U261" s="880"/>
      <c r="V261" s="880"/>
      <c r="W261" s="880"/>
      <c r="X261" s="892" t="s">
        <v>428</v>
      </c>
      <c r="Y261" s="892"/>
      <c r="Z261" s="892" t="s">
        <v>429</v>
      </c>
      <c r="AA261" s="892"/>
      <c r="AB261" s="892"/>
      <c r="AC261" s="893"/>
      <c r="AD261" s="355"/>
      <c r="AE261" s="355"/>
      <c r="AF261" s="614"/>
    </row>
    <row r="262" spans="17:32" ht="24.75" customHeight="1">
      <c r="Q262" s="355"/>
      <c r="R262" s="355"/>
      <c r="S262" s="878" t="str">
        <f>1!L37</f>
        <v>1 - Demir döküm (GG, GGG)</v>
      </c>
      <c r="T262" s="879"/>
      <c r="U262" s="879"/>
      <c r="V262" s="879"/>
      <c r="W262" s="879"/>
      <c r="X262" s="618" t="s">
        <v>430</v>
      </c>
      <c r="Y262" s="619">
        <v>1.025</v>
      </c>
      <c r="Z262" s="900"/>
      <c r="AA262" s="900"/>
      <c r="AB262" s="900"/>
      <c r="AC262" s="901"/>
      <c r="AD262" s="546">
        <f>4.299-3.259*(Y258+1)^0.005</f>
        <v>1.0074460727071104</v>
      </c>
      <c r="AE262" s="355"/>
      <c r="AF262" s="620"/>
    </row>
    <row r="263" spans="17:31" ht="24.75" customHeight="1">
      <c r="Q263" s="355"/>
      <c r="R263" s="355"/>
      <c r="S263" s="878" t="str">
        <f>1!L38</f>
        <v>2 - Bütün çelikler, (Rm&lt;800 N/mm2, St, GS)</v>
      </c>
      <c r="T263" s="879"/>
      <c r="U263" s="879"/>
      <c r="V263" s="879"/>
      <c r="W263" s="879"/>
      <c r="X263" s="618" t="s">
        <v>430</v>
      </c>
      <c r="Y263" s="619">
        <v>1.07</v>
      </c>
      <c r="Z263" s="900"/>
      <c r="AA263" s="900"/>
      <c r="AB263" s="900"/>
      <c r="AC263" s="901"/>
      <c r="AD263" s="546">
        <f>5.306-4.203*(Y258+1)^0.01</f>
        <v>1.0186136729271453</v>
      </c>
      <c r="AE263" s="357"/>
    </row>
    <row r="264" spans="17:31" ht="24.75" customHeight="1" thickBot="1">
      <c r="Q264" s="355"/>
      <c r="R264" s="355"/>
      <c r="S264" s="882" t="str">
        <f>1!L39</f>
        <v>3 - Bütün sertleştirilmiş çelikler, (Rm&gt;800 N/mm2)</v>
      </c>
      <c r="T264" s="883"/>
      <c r="U264" s="883"/>
      <c r="V264" s="883"/>
      <c r="W264" s="883"/>
      <c r="X264" s="621" t="s">
        <v>430</v>
      </c>
      <c r="Y264" s="622">
        <v>1.12</v>
      </c>
      <c r="Z264" s="898"/>
      <c r="AA264" s="898"/>
      <c r="AB264" s="898"/>
      <c r="AC264" s="899"/>
      <c r="AD264" s="546">
        <f>1.674-0.529*(Y258+1)^0.1</f>
        <v>1.0286609312377457</v>
      </c>
      <c r="AE264" s="355"/>
    </row>
    <row r="265" spans="17:32" ht="19.5" customHeight="1">
      <c r="Q265" s="355"/>
      <c r="R265" s="355"/>
      <c r="S265" s="762">
        <f>S252</f>
        <v>3</v>
      </c>
      <c r="T265" s="443"/>
      <c r="U265" s="355"/>
      <c r="V265" s="355"/>
      <c r="W265" s="300"/>
      <c r="X265" s="300"/>
      <c r="AA265" s="443"/>
      <c r="AD265" s="355"/>
      <c r="AE265" s="355"/>
      <c r="AF265" s="614"/>
    </row>
    <row r="266" spans="17:32" ht="19.5" customHeight="1">
      <c r="Q266" s="355"/>
      <c r="R266" s="355"/>
      <c r="S266" s="443"/>
      <c r="T266" s="443"/>
      <c r="U266" s="355"/>
      <c r="V266" s="355"/>
      <c r="W266" s="355"/>
      <c r="X266" s="355"/>
      <c r="Y266" s="355"/>
      <c r="Z266" s="757" t="s">
        <v>566</v>
      </c>
      <c r="AA266" s="758">
        <f>1!G22</f>
        <v>6.3</v>
      </c>
      <c r="AB266" s="757" t="s">
        <v>567</v>
      </c>
      <c r="AC266" s="758">
        <f>1!G23</f>
        <v>6.3</v>
      </c>
      <c r="AD266" s="355"/>
      <c r="AE266" s="355"/>
      <c r="AF266" s="614"/>
    </row>
    <row r="267" spans="17:32" ht="19.5" customHeight="1">
      <c r="Q267" s="355"/>
      <c r="R267" s="355"/>
      <c r="S267" s="443"/>
      <c r="T267" s="443"/>
      <c r="U267" s="355"/>
      <c r="V267" s="355"/>
      <c r="W267" s="355"/>
      <c r="X267" s="355"/>
      <c r="Y267" s="355"/>
      <c r="Z267" s="355"/>
      <c r="AA267" s="443"/>
      <c r="AB267" s="443"/>
      <c r="AC267" s="355"/>
      <c r="AD267" s="355"/>
      <c r="AE267" s="355"/>
      <c r="AF267" s="614"/>
    </row>
    <row r="268" spans="17:32" ht="19.5" customHeight="1">
      <c r="Q268" s="357"/>
      <c r="R268" s="357"/>
      <c r="S268" s="416"/>
      <c r="T268" s="416"/>
      <c r="U268" s="357"/>
      <c r="V268" s="357"/>
      <c r="W268" s="357"/>
      <c r="X268" s="357"/>
      <c r="Y268" s="357"/>
      <c r="Z268" s="357"/>
      <c r="AA268" s="416"/>
      <c r="AB268" s="416"/>
      <c r="AC268" s="357"/>
      <c r="AD268" s="357"/>
      <c r="AE268" s="357"/>
      <c r="AF268" s="614"/>
    </row>
    <row r="269" spans="17:32" ht="19.5" customHeight="1" thickBot="1">
      <c r="Q269" s="357"/>
      <c r="R269" s="357"/>
      <c r="S269" s="416"/>
      <c r="T269" s="416"/>
      <c r="U269" s="357"/>
      <c r="V269" s="357"/>
      <c r="W269" s="357"/>
      <c r="X269" s="357"/>
      <c r="Y269" s="357"/>
      <c r="Z269" s="357"/>
      <c r="AA269" s="416"/>
      <c r="AB269" s="416"/>
      <c r="AC269" s="357"/>
      <c r="AD269" s="357"/>
      <c r="AE269" s="357"/>
      <c r="AF269" s="614"/>
    </row>
    <row r="270" spans="17:32" ht="19.5" customHeight="1" thickBot="1">
      <c r="Q270" s="357"/>
      <c r="R270" s="357"/>
      <c r="S270" s="416"/>
      <c r="T270" s="612" t="str">
        <f>B29</f>
        <v>Büyüklük faktörü</v>
      </c>
      <c r="U270" s="612"/>
      <c r="V270" s="443" t="s">
        <v>431</v>
      </c>
      <c r="W270" s="616" t="s">
        <v>250</v>
      </c>
      <c r="X270" s="623">
        <f>AA58</f>
        <v>5</v>
      </c>
      <c r="Y270" s="355"/>
      <c r="Z270" s="355"/>
      <c r="AA270" s="443"/>
      <c r="AC270" s="611" t="s">
        <v>417</v>
      </c>
      <c r="AD270" s="531">
        <f>IF(S277&lt;1.5,AD274,IF(S277&lt;2.5,AD275,AD276))</f>
        <v>1</v>
      </c>
      <c r="AE270" s="357"/>
      <c r="AF270" s="614"/>
    </row>
    <row r="271" spans="17:32" ht="19.5" customHeight="1" thickBot="1">
      <c r="Q271" s="357"/>
      <c r="R271" s="357"/>
      <c r="S271" s="416"/>
      <c r="T271" s="416"/>
      <c r="U271" s="357"/>
      <c r="V271" s="357"/>
      <c r="W271" s="357"/>
      <c r="X271" s="357"/>
      <c r="Y271" s="357"/>
      <c r="Z271" s="357"/>
      <c r="AA271" s="416"/>
      <c r="AB271" s="416"/>
      <c r="AC271" s="357"/>
      <c r="AD271" s="357"/>
      <c r="AE271" s="357"/>
      <c r="AF271" s="614"/>
    </row>
    <row r="272" spans="17:32" ht="19.5" customHeight="1">
      <c r="Q272" s="355"/>
      <c r="R272" s="355"/>
      <c r="S272" s="887" t="s">
        <v>351</v>
      </c>
      <c r="T272" s="888"/>
      <c r="U272" s="888"/>
      <c r="V272" s="888"/>
      <c r="W272" s="888"/>
      <c r="X272" s="888" t="s">
        <v>432</v>
      </c>
      <c r="Y272" s="888"/>
      <c r="Z272" s="888"/>
      <c r="AA272" s="888"/>
      <c r="AB272" s="888"/>
      <c r="AC272" s="890"/>
      <c r="AD272" s="357"/>
      <c r="AE272" s="357"/>
      <c r="AF272" s="614"/>
    </row>
    <row r="273" spans="17:32" ht="19.5" customHeight="1">
      <c r="Q273" s="355"/>
      <c r="R273" s="355"/>
      <c r="S273" s="889"/>
      <c r="T273" s="880"/>
      <c r="U273" s="880"/>
      <c r="V273" s="880"/>
      <c r="W273" s="880"/>
      <c r="X273" s="437" t="s">
        <v>433</v>
      </c>
      <c r="Y273" s="880" t="s">
        <v>434</v>
      </c>
      <c r="Z273" s="880"/>
      <c r="AA273" s="880"/>
      <c r="AB273" s="880"/>
      <c r="AC273" s="624" t="s">
        <v>435</v>
      </c>
      <c r="AD273" s="355"/>
      <c r="AE273" s="355"/>
      <c r="AF273" s="614"/>
    </row>
    <row r="274" spans="17:32" ht="19.5" customHeight="1">
      <c r="Q274" s="355"/>
      <c r="R274" s="355"/>
      <c r="S274" s="878" t="str">
        <f>1!L37</f>
        <v>1 - Demir döküm (GG, GGG)</v>
      </c>
      <c r="T274" s="879"/>
      <c r="U274" s="879"/>
      <c r="V274" s="879"/>
      <c r="W274" s="879"/>
      <c r="X274" s="880" t="s">
        <v>436</v>
      </c>
      <c r="Y274" s="880" t="s">
        <v>437</v>
      </c>
      <c r="Z274" s="880"/>
      <c r="AA274" s="880"/>
      <c r="AB274" s="880"/>
      <c r="AC274" s="624" t="s">
        <v>438</v>
      </c>
      <c r="AD274" s="546">
        <f>IF(X270&lt;5,1,IF(X270&gt;25,0.7,1.075-0.015*X270))</f>
        <v>1</v>
      </c>
      <c r="AE274" s="355"/>
      <c r="AF274" s="614"/>
    </row>
    <row r="275" spans="17:32" ht="19.5" customHeight="1">
      <c r="Q275" s="355"/>
      <c r="R275" s="355"/>
      <c r="S275" s="878" t="str">
        <f>1!L38</f>
        <v>2 - Bütün çelikler, (Rm&lt;800 N/mm2, St, GS)</v>
      </c>
      <c r="T275" s="879"/>
      <c r="U275" s="879"/>
      <c r="V275" s="879"/>
      <c r="W275" s="879"/>
      <c r="X275" s="880"/>
      <c r="Y275" s="880" t="s">
        <v>439</v>
      </c>
      <c r="Z275" s="880"/>
      <c r="AA275" s="880"/>
      <c r="AB275" s="880"/>
      <c r="AC275" s="624" t="s">
        <v>440</v>
      </c>
      <c r="AD275" s="573">
        <f>IF(X270&lt;5,1,IF(X270&gt;25,0.85,1.03-0.006*X270))</f>
        <v>1</v>
      </c>
      <c r="AE275" s="355"/>
      <c r="AF275" s="1"/>
    </row>
    <row r="276" spans="17:32" ht="19.5" customHeight="1" thickBot="1">
      <c r="Q276" s="355"/>
      <c r="R276" s="355"/>
      <c r="S276" s="882" t="str">
        <f>1!L39</f>
        <v>3 - Bütün sertleştirilmiş çelikler, (Rm&gt;800 N/mm2)</v>
      </c>
      <c r="T276" s="883"/>
      <c r="U276" s="883"/>
      <c r="V276" s="883"/>
      <c r="W276" s="883"/>
      <c r="X276" s="881"/>
      <c r="Y276" s="881" t="s">
        <v>441</v>
      </c>
      <c r="Z276" s="881"/>
      <c r="AA276" s="881"/>
      <c r="AB276" s="881"/>
      <c r="AC276" s="625" t="s">
        <v>442</v>
      </c>
      <c r="AD276" s="573">
        <f>IF(X270&lt;5,1,IF(X270&gt;25,0.8,1.05-0.01*X270))</f>
        <v>1</v>
      </c>
      <c r="AE276" s="355"/>
      <c r="AF276" s="1"/>
    </row>
    <row r="277" spans="17:32" ht="19.5" customHeight="1">
      <c r="Q277" s="355"/>
      <c r="R277" s="355"/>
      <c r="S277" s="763">
        <f>S252</f>
        <v>3</v>
      </c>
      <c r="T277" s="443"/>
      <c r="U277" s="355"/>
      <c r="V277" s="355"/>
      <c r="W277" s="355"/>
      <c r="X277" s="355"/>
      <c r="Y277" s="355"/>
      <c r="Z277" s="355"/>
      <c r="AA277" s="443"/>
      <c r="AB277" s="443"/>
      <c r="AC277" s="355"/>
      <c r="AD277" s="355"/>
      <c r="AE277" s="355"/>
      <c r="AF277" s="1"/>
    </row>
    <row r="278" spans="17:32" ht="19.5" customHeight="1">
      <c r="Q278" s="355"/>
      <c r="R278" s="355"/>
      <c r="S278" s="443"/>
      <c r="T278" s="443"/>
      <c r="U278" s="355"/>
      <c r="V278" s="355"/>
      <c r="W278" s="355"/>
      <c r="X278" s="355"/>
      <c r="Y278" s="355"/>
      <c r="Z278" s="355"/>
      <c r="AA278" s="443"/>
      <c r="AB278" s="443"/>
      <c r="AC278" s="355"/>
      <c r="AD278" s="355"/>
      <c r="AE278" s="355"/>
      <c r="AF278" s="1"/>
    </row>
    <row r="279" spans="28:30" ht="19.5" customHeight="1" thickBot="1">
      <c r="AB279" s="443"/>
      <c r="AC279" s="1"/>
      <c r="AD279" s="1"/>
    </row>
    <row r="280" spans="20:30" ht="19.5" customHeight="1" thickBot="1">
      <c r="T280" s="626" t="str">
        <f>H19</f>
        <v>İşletmede Hertz basıncı</v>
      </c>
      <c r="U280" s="592"/>
      <c r="V280" s="592"/>
      <c r="W280" s="627" t="s">
        <v>165</v>
      </c>
      <c r="X280" s="357"/>
      <c r="AC280" s="628" t="s">
        <v>443</v>
      </c>
      <c r="AD280" s="629">
        <f>AD288*(AC282*AC283*AC284*AC285)^0.5</f>
        <v>904.5023240932097</v>
      </c>
    </row>
    <row r="281" ht="19.5" customHeight="1"/>
    <row r="282" spans="28:29" ht="19.5" customHeight="1">
      <c r="AB282" s="630" t="s">
        <v>444</v>
      </c>
      <c r="AC282" s="516">
        <f>'11'!O7</f>
        <v>1.5</v>
      </c>
    </row>
    <row r="283" spans="28:31" ht="19.5" customHeight="1">
      <c r="AB283" s="630" t="s">
        <v>280</v>
      </c>
      <c r="AC283" s="516">
        <f>AD94</f>
        <v>1.0332481090980172</v>
      </c>
      <c r="AD283" s="355"/>
      <c r="AE283" s="355"/>
    </row>
    <row r="284" spans="28:31" ht="19.5" customHeight="1">
      <c r="AB284" s="630" t="s">
        <v>273</v>
      </c>
      <c r="AC284" s="516">
        <f>AD84</f>
        <v>2.3470257168534507</v>
      </c>
      <c r="AD284" s="355"/>
      <c r="AE284" s="355"/>
    </row>
    <row r="285" spans="27:31" ht="19.5" customHeight="1">
      <c r="AA285" s="443"/>
      <c r="AB285" s="630" t="s">
        <v>445</v>
      </c>
      <c r="AC285" s="516">
        <f>AD160</f>
        <v>1.2</v>
      </c>
      <c r="AD285" s="355"/>
      <c r="AE285" s="355"/>
    </row>
    <row r="286" spans="20:31" ht="19.5" customHeight="1">
      <c r="T286" s="443"/>
      <c r="U286" s="355"/>
      <c r="V286" s="355"/>
      <c r="W286" s="355"/>
      <c r="X286" s="355"/>
      <c r="Y286" s="355"/>
      <c r="Z286" s="355"/>
      <c r="AA286" s="443"/>
      <c r="AC286" s="355"/>
      <c r="AD286" s="355"/>
      <c r="AE286" s="355"/>
    </row>
    <row r="287" spans="29:31" ht="19.5" customHeight="1" thickBot="1">
      <c r="AC287" s="1"/>
      <c r="AD287" s="1"/>
      <c r="AE287" s="355"/>
    </row>
    <row r="288" spans="20:31" ht="19.5" customHeight="1" thickBot="1">
      <c r="T288" s="626" t="str">
        <f>H11</f>
        <v>Yerel Hertz basıncı</v>
      </c>
      <c r="U288" s="592"/>
      <c r="V288" s="592"/>
      <c r="W288" s="631" t="s">
        <v>446</v>
      </c>
      <c r="X288" s="357"/>
      <c r="AA288" s="443"/>
      <c r="AC288" s="628" t="s">
        <v>447</v>
      </c>
      <c r="AD288" s="629">
        <f>(V293/X294/V294/X293*(X293+1))^0.5*AD297*AD307*AD311*AD316</f>
        <v>432.9245366727028</v>
      </c>
      <c r="AE288" s="355"/>
    </row>
    <row r="289" spans="20:31" ht="19.5" customHeight="1">
      <c r="T289" s="443"/>
      <c r="U289" s="355"/>
      <c r="V289" s="586"/>
      <c r="W289" s="586"/>
      <c r="X289" s="586"/>
      <c r="Y289" s="355"/>
      <c r="Z289" s="355"/>
      <c r="AC289" s="355"/>
      <c r="AD289" s="355"/>
      <c r="AE289" s="355"/>
    </row>
    <row r="290" spans="20:31" ht="19.5" customHeight="1">
      <c r="T290" s="443"/>
      <c r="U290" s="355"/>
      <c r="V290" s="355"/>
      <c r="W290" s="355"/>
      <c r="X290" s="355"/>
      <c r="Y290" s="355"/>
      <c r="Z290" s="355"/>
      <c r="AC290" s="355"/>
      <c r="AD290" s="355"/>
      <c r="AE290" s="355"/>
    </row>
    <row r="291" spans="20:31" ht="19.5" customHeight="1">
      <c r="T291" s="616"/>
      <c r="U291" s="177"/>
      <c r="V291" s="355"/>
      <c r="W291" s="355"/>
      <c r="X291" s="355"/>
      <c r="Y291" s="433"/>
      <c r="Z291" s="177"/>
      <c r="AB291" s="610" t="s">
        <v>345</v>
      </c>
      <c r="AC291" s="516">
        <f>AD297</f>
        <v>0.8170649791844806</v>
      </c>
      <c r="AD291" s="355"/>
      <c r="AE291" s="355"/>
    </row>
    <row r="292" spans="20:31" ht="19.5" customHeight="1">
      <c r="T292" s="416"/>
      <c r="U292" s="357"/>
      <c r="V292" s="357"/>
      <c r="W292" s="357"/>
      <c r="X292" s="357"/>
      <c r="AB292" s="610" t="s">
        <v>448</v>
      </c>
      <c r="AC292" s="516">
        <f>AD307</f>
        <v>0.9839948626507062</v>
      </c>
      <c r="AD292" s="355"/>
      <c r="AE292" s="355"/>
    </row>
    <row r="293" spans="21:31" ht="19.5" customHeight="1">
      <c r="U293" s="603" t="s">
        <v>449</v>
      </c>
      <c r="V293" s="632">
        <f>E7</f>
        <v>11321.415901988605</v>
      </c>
      <c r="W293" s="602" t="s">
        <v>286</v>
      </c>
      <c r="X293" s="633">
        <f>K10</f>
        <v>4.333333333333333</v>
      </c>
      <c r="AB293" s="610" t="s">
        <v>450</v>
      </c>
      <c r="AC293" s="516">
        <f>AD311</f>
        <v>2.351517104704709</v>
      </c>
      <c r="AD293" s="357"/>
      <c r="AE293" s="357"/>
    </row>
    <row r="294" spans="21:31" ht="19.5" customHeight="1">
      <c r="U294" s="779" t="s">
        <v>262</v>
      </c>
      <c r="V294" s="780">
        <f>AA73</f>
        <v>92.95159520455</v>
      </c>
      <c r="W294" s="779" t="s">
        <v>271</v>
      </c>
      <c r="X294" s="780">
        <f>Z83</f>
        <v>105</v>
      </c>
      <c r="AB294" s="610" t="s">
        <v>451</v>
      </c>
      <c r="AC294" s="516">
        <f>AD316</f>
        <v>191.64567250641844</v>
      </c>
      <c r="AD294" s="355"/>
      <c r="AE294" s="355"/>
    </row>
    <row r="295" spans="30:31" ht="19.5" customHeight="1">
      <c r="AD295" s="355"/>
      <c r="AE295" s="355"/>
    </row>
    <row r="296" spans="25:31" ht="19.5" customHeight="1" thickBot="1">
      <c r="Y296" s="357"/>
      <c r="AC296" s="355"/>
      <c r="AD296" s="355"/>
      <c r="AE296" s="355"/>
    </row>
    <row r="297" spans="20:31" ht="19.5" customHeight="1" thickBot="1">
      <c r="T297" s="612" t="str">
        <f>B15</f>
        <v>Yük payı faktörü</v>
      </c>
      <c r="U297" s="613"/>
      <c r="V297" s="355" t="s">
        <v>452</v>
      </c>
      <c r="W297" s="355"/>
      <c r="X297" s="357"/>
      <c r="Y297" s="355"/>
      <c r="AC297" s="611" t="s">
        <v>345</v>
      </c>
      <c r="AD297" s="531">
        <f>IF(W303&gt;1,AA303,IF(Z311=0,AA299,AA301))</f>
        <v>0.8170649791844806</v>
      </c>
      <c r="AE297" s="355"/>
    </row>
    <row r="298" spans="24:31" ht="19.5" customHeight="1">
      <c r="X298" s="357"/>
      <c r="AC298" s="355"/>
      <c r="AD298" s="355"/>
      <c r="AE298" s="355"/>
    </row>
    <row r="299" spans="20:31" ht="19.5" customHeight="1">
      <c r="T299" s="416" t="s">
        <v>453</v>
      </c>
      <c r="U299" s="357"/>
      <c r="V299" s="355"/>
      <c r="W299" s="355"/>
      <c r="X299" s="357"/>
      <c r="Y299" s="355"/>
      <c r="Z299" s="433" t="s">
        <v>454</v>
      </c>
      <c r="AA299" s="521">
        <f>((4-Y303)/3)^0.5</f>
        <v>0.9132517451037452</v>
      </c>
      <c r="AC299" s="355"/>
      <c r="AD299" s="355"/>
      <c r="AE299" s="355"/>
    </row>
    <row r="300" spans="24:31" ht="19.5" customHeight="1">
      <c r="X300" s="357"/>
      <c r="Y300" s="357"/>
      <c r="Z300" s="357"/>
      <c r="AA300" s="416"/>
      <c r="AB300" s="416"/>
      <c r="AC300" s="357"/>
      <c r="AD300" s="357"/>
      <c r="AE300" s="357"/>
    </row>
    <row r="301" spans="20:27" ht="19.5" customHeight="1">
      <c r="T301" s="416" t="s">
        <v>455</v>
      </c>
      <c r="U301" s="357"/>
      <c r="V301" s="357"/>
      <c r="W301" s="357"/>
      <c r="X301" s="357"/>
      <c r="Z301" s="433" t="s">
        <v>454</v>
      </c>
      <c r="AA301" s="521">
        <f>((4-Y303)*(1-W303)/3+W303/Y303)^0.5</f>
        <v>0.7455852487794322</v>
      </c>
    </row>
    <row r="302" spans="20:28" ht="19.5" customHeight="1">
      <c r="T302" s="443"/>
      <c r="U302" s="355"/>
      <c r="V302" s="355"/>
      <c r="W302" s="355"/>
      <c r="X302" s="355"/>
      <c r="Y302" s="355"/>
      <c r="Z302" s="433"/>
      <c r="AA302" s="443"/>
      <c r="AB302" s="552"/>
    </row>
    <row r="303" spans="20:31" ht="19.5" customHeight="1">
      <c r="T303" s="449" t="s">
        <v>552</v>
      </c>
      <c r="U303" s="355"/>
      <c r="V303" s="759" t="s">
        <v>597</v>
      </c>
      <c r="W303" s="751">
        <f>4!D41</f>
        <v>1.6711255259176732</v>
      </c>
      <c r="X303" s="759" t="s">
        <v>598</v>
      </c>
      <c r="Y303" s="751">
        <f>4!D39</f>
        <v>1.497913750194892</v>
      </c>
      <c r="Z303" s="433" t="s">
        <v>454</v>
      </c>
      <c r="AA303" s="521">
        <f>(1/Y303)^0.5</f>
        <v>0.8170649791844806</v>
      </c>
      <c r="AB303" s="552"/>
      <c r="AE303" s="355"/>
    </row>
    <row r="304" spans="20:21" ht="19.5" customHeight="1">
      <c r="T304" s="416"/>
      <c r="U304" s="355"/>
    </row>
    <row r="305" spans="20:21" ht="19.5" customHeight="1">
      <c r="T305" s="416"/>
      <c r="U305" s="355"/>
    </row>
    <row r="306" ht="19.5" customHeight="1" thickBot="1"/>
    <row r="307" spans="20:30" ht="19.5" customHeight="1" thickBot="1">
      <c r="T307" s="612" t="str">
        <f>B16</f>
        <v>Helis faktörü </v>
      </c>
      <c r="U307" s="613"/>
      <c r="V307" s="355" t="s">
        <v>456</v>
      </c>
      <c r="W307" s="355"/>
      <c r="X307" s="357"/>
      <c r="Y307" s="355"/>
      <c r="AC307" s="611" t="s">
        <v>457</v>
      </c>
      <c r="AD307" s="531">
        <f>(Z308)^0.5</f>
        <v>0.9839948626507062</v>
      </c>
    </row>
    <row r="308" spans="25:26" ht="19.5" customHeight="1">
      <c r="Y308" s="602" t="s">
        <v>458</v>
      </c>
      <c r="Z308" s="634">
        <f>COS(Z311*PI()/180)</f>
        <v>0.9682458897229822</v>
      </c>
    </row>
    <row r="309" ht="19.5" customHeight="1"/>
    <row r="310" spans="20:28" ht="19.5" customHeight="1" thickBot="1">
      <c r="T310" s="443"/>
      <c r="U310" s="355"/>
      <c r="V310" s="355"/>
      <c r="W310" s="357"/>
      <c r="X310" s="357"/>
      <c r="AA310" s="416"/>
      <c r="AB310" s="416"/>
    </row>
    <row r="311" spans="17:31" ht="19.5" customHeight="1" thickBot="1">
      <c r="Q311" s="355"/>
      <c r="R311" s="355"/>
      <c r="S311" s="605"/>
      <c r="T311" s="612" t="str">
        <f>H15</f>
        <v>Diş yanağı form faktörü </v>
      </c>
      <c r="U311" s="613"/>
      <c r="V311" s="355" t="s">
        <v>104</v>
      </c>
      <c r="Y311" s="781" t="s">
        <v>283</v>
      </c>
      <c r="Z311" s="784">
        <f>Y103</f>
        <v>14.4775</v>
      </c>
      <c r="AC311" s="611" t="s">
        <v>450</v>
      </c>
      <c r="AD311" s="531">
        <f>(2*Z314/Z313^2/Z312)^0.5</f>
        <v>2.351517104704709</v>
      </c>
      <c r="AE311" s="355"/>
    </row>
    <row r="312" spans="17:31" ht="19.5" customHeight="1">
      <c r="Q312" s="355"/>
      <c r="R312" s="355"/>
      <c r="S312" s="605"/>
      <c r="T312" s="416"/>
      <c r="U312" s="357"/>
      <c r="V312" s="355"/>
      <c r="W312" s="782" t="s">
        <v>583</v>
      </c>
      <c r="X312" s="756">
        <f>4!D21</f>
        <v>21.86281668149476</v>
      </c>
      <c r="Y312" s="779" t="s">
        <v>459</v>
      </c>
      <c r="Z312" s="785">
        <f>TAN(X312*PI()/180)</f>
        <v>0.4012437726634218</v>
      </c>
      <c r="AA312" s="416"/>
      <c r="AB312" s="416"/>
      <c r="AC312" s="355"/>
      <c r="AD312" s="355"/>
      <c r="AE312" s="355"/>
    </row>
    <row r="313" spans="17:31" ht="19.5" customHeight="1">
      <c r="Q313" s="355"/>
      <c r="R313" s="355"/>
      <c r="S313" s="605"/>
      <c r="T313" s="448"/>
      <c r="U313" s="355"/>
      <c r="V313" s="355"/>
      <c r="W313" s="782" t="s">
        <v>584</v>
      </c>
      <c r="X313" s="756">
        <f>4!D19</f>
        <v>20.60158298578821</v>
      </c>
      <c r="Y313" s="779" t="s">
        <v>581</v>
      </c>
      <c r="Z313" s="785">
        <f>COS(X313*PI()/180)</f>
        <v>0.9360498145901701</v>
      </c>
      <c r="AA313" s="443"/>
      <c r="AB313" s="443"/>
      <c r="AC313" s="355"/>
      <c r="AD313" s="355"/>
      <c r="AE313" s="355"/>
    </row>
    <row r="314" spans="17:31" ht="19.5" customHeight="1">
      <c r="Q314" s="355"/>
      <c r="R314" s="355"/>
      <c r="S314" s="605"/>
      <c r="T314" s="448"/>
      <c r="U314" s="355"/>
      <c r="V314" s="355"/>
      <c r="W314" s="782" t="s">
        <v>582</v>
      </c>
      <c r="X314" s="760">
        <f>4!D26</f>
        <v>13.587081674083063</v>
      </c>
      <c r="Y314" s="779" t="s">
        <v>460</v>
      </c>
      <c r="Z314" s="783">
        <f>COS(X314*PI()/180)</f>
        <v>0.9720139927353473</v>
      </c>
      <c r="AA314" s="443"/>
      <c r="AB314" s="443"/>
      <c r="AC314" s="355"/>
      <c r="AD314" s="355"/>
      <c r="AE314" s="355"/>
    </row>
    <row r="315" spans="17:31" ht="19.5" customHeight="1" thickBot="1">
      <c r="Q315" s="355"/>
      <c r="R315" s="355"/>
      <c r="S315" s="605"/>
      <c r="AC315" s="355"/>
      <c r="AD315" s="355"/>
      <c r="AE315" s="355"/>
    </row>
    <row r="316" spans="17:31" ht="19.5" customHeight="1" thickBot="1">
      <c r="Q316" s="355"/>
      <c r="R316" s="355"/>
      <c r="S316" s="605"/>
      <c r="T316" s="612" t="str">
        <f>H16</f>
        <v>Elastikiyet faktörü </v>
      </c>
      <c r="U316" s="613"/>
      <c r="V316" s="355" t="s">
        <v>105</v>
      </c>
      <c r="W316" s="355"/>
      <c r="X316" s="355"/>
      <c r="Y316" s="355"/>
      <c r="AC316" s="611" t="s">
        <v>451</v>
      </c>
      <c r="AD316" s="531">
        <f>(1/(PI()*((1-X318^2)/Z318+(1-X319^2)/Z319)))^0.5</f>
        <v>191.64567250641844</v>
      </c>
      <c r="AE316" s="355"/>
    </row>
    <row r="317" spans="17:31" ht="19.5" customHeight="1">
      <c r="Q317" s="355"/>
      <c r="R317" s="355"/>
      <c r="S317" s="605"/>
      <c r="T317" s="443"/>
      <c r="U317" s="355"/>
      <c r="Z317" s="355"/>
      <c r="AA317" s="443"/>
      <c r="AB317" s="443"/>
      <c r="AE317" s="355"/>
    </row>
    <row r="318" spans="17:31" ht="19.5" customHeight="1">
      <c r="Q318" s="355"/>
      <c r="R318" s="355"/>
      <c r="S318" s="605"/>
      <c r="T318" s="443"/>
      <c r="U318" s="355"/>
      <c r="V318" s="355"/>
      <c r="W318" s="759" t="s">
        <v>568</v>
      </c>
      <c r="X318" s="761">
        <f>1!G29</f>
        <v>0.3</v>
      </c>
      <c r="Y318" s="757" t="s">
        <v>569</v>
      </c>
      <c r="Z318" s="758">
        <f>1!G27</f>
        <v>210000</v>
      </c>
      <c r="AA318" s="443"/>
      <c r="AB318" s="443"/>
      <c r="AE318" s="355"/>
    </row>
    <row r="319" spans="17:31" ht="19.5" customHeight="1">
      <c r="Q319" s="355"/>
      <c r="R319" s="355"/>
      <c r="S319" s="605"/>
      <c r="T319" s="444"/>
      <c r="U319" s="636"/>
      <c r="V319" s="636"/>
      <c r="W319" s="759" t="s">
        <v>570</v>
      </c>
      <c r="X319" s="761">
        <f>1!G29</f>
        <v>0.3</v>
      </c>
      <c r="Y319" s="757" t="s">
        <v>571</v>
      </c>
      <c r="Z319" s="758">
        <f>1!G28</f>
        <v>210000</v>
      </c>
      <c r="AA319" s="443"/>
      <c r="AE319" s="355"/>
    </row>
    <row r="320" spans="17:31" ht="19.5" customHeight="1">
      <c r="Q320" s="355"/>
      <c r="R320" s="355"/>
      <c r="S320" s="605"/>
      <c r="T320" s="444"/>
      <c r="U320" s="636"/>
      <c r="V320" s="636"/>
      <c r="W320" s="355"/>
      <c r="X320" s="357"/>
      <c r="Y320" s="355"/>
      <c r="Z320" s="355"/>
      <c r="AA320" s="443"/>
      <c r="AE320" s="355"/>
    </row>
    <row r="321" spans="17:31" ht="19.5" customHeight="1" thickBot="1">
      <c r="Q321" s="355"/>
      <c r="R321" s="355"/>
      <c r="S321" s="605"/>
      <c r="T321" s="444"/>
      <c r="U321" s="636"/>
      <c r="V321" s="636"/>
      <c r="W321" s="355"/>
      <c r="X321" s="357"/>
      <c r="Y321" s="355"/>
      <c r="Z321" s="355"/>
      <c r="AA321" s="443"/>
      <c r="AB321" s="443"/>
      <c r="AC321" s="355"/>
      <c r="AD321" s="355"/>
      <c r="AE321" s="355"/>
    </row>
    <row r="322" spans="17:31" ht="19.5" customHeight="1" thickBot="1">
      <c r="Q322" s="355"/>
      <c r="R322" s="355"/>
      <c r="S322" s="605"/>
      <c r="T322" s="606" t="str">
        <f>H24</f>
        <v>Diş yanağı form mukavemeti</v>
      </c>
      <c r="U322" s="607"/>
      <c r="V322" s="607"/>
      <c r="W322" s="355"/>
      <c r="X322" s="357"/>
      <c r="Y322" s="355"/>
      <c r="Z322" s="355"/>
      <c r="AA322" s="443"/>
      <c r="AC322" s="637" t="s">
        <v>461</v>
      </c>
      <c r="AD322" s="638">
        <f>Z326*AD334*AD341*AD353*AD361*AD376</f>
        <v>1258.0606164002968</v>
      </c>
      <c r="AE322" s="355"/>
    </row>
    <row r="323" spans="17:31" ht="19.5" customHeight="1" thickBot="1">
      <c r="Q323" s="355"/>
      <c r="R323" s="355"/>
      <c r="S323" s="605"/>
      <c r="W323" s="355"/>
      <c r="X323" s="357"/>
      <c r="Y323" s="355"/>
      <c r="Z323" s="355"/>
      <c r="AA323" s="443"/>
      <c r="AC323" s="443"/>
      <c r="AD323" s="355"/>
      <c r="AE323" s="355"/>
    </row>
    <row r="324" spans="17:31" ht="19.5" customHeight="1" thickBot="1">
      <c r="Q324" s="355"/>
      <c r="R324" s="355"/>
      <c r="S324" s="605"/>
      <c r="W324" s="355"/>
      <c r="X324" s="357"/>
      <c r="Y324" s="355"/>
      <c r="Z324" s="355"/>
      <c r="AA324" s="443"/>
      <c r="AC324" s="637" t="s">
        <v>462</v>
      </c>
      <c r="AD324" s="638">
        <f>Z327*AD334*AD341*AD353*AD361*AD376</f>
        <v>1258.0606164002968</v>
      </c>
      <c r="AE324" s="355"/>
    </row>
    <row r="325" spans="17:31" ht="19.5" customHeight="1">
      <c r="Q325" s="355"/>
      <c r="R325" s="355"/>
      <c r="S325" s="605"/>
      <c r="T325" s="443"/>
      <c r="U325" s="355"/>
      <c r="V325" s="355"/>
      <c r="W325" s="355"/>
      <c r="X325" s="357"/>
      <c r="Y325" s="355"/>
      <c r="Z325" s="355"/>
      <c r="AA325" s="443"/>
      <c r="AB325" s="443"/>
      <c r="AC325" s="355"/>
      <c r="AD325" s="355"/>
      <c r="AE325" s="355"/>
    </row>
    <row r="326" spans="17:31" ht="19.5" customHeight="1">
      <c r="Q326" s="355"/>
      <c r="R326" s="355"/>
      <c r="S326" s="605"/>
      <c r="Y326" s="781" t="s">
        <v>585</v>
      </c>
      <c r="Z326" s="894">
        <f>IF(AB134&lt;850,850,IF(AB134&gt;1200,1200,AB134))</f>
        <v>1100</v>
      </c>
      <c r="AA326" s="894"/>
      <c r="AB326" s="610" t="s">
        <v>463</v>
      </c>
      <c r="AC326" s="516">
        <f>AD334</f>
        <v>1.2370058841467824</v>
      </c>
      <c r="AE326" s="355"/>
    </row>
    <row r="327" spans="17:31" ht="19.5" customHeight="1">
      <c r="Q327" s="355"/>
      <c r="R327" s="355"/>
      <c r="S327" s="605"/>
      <c r="T327" s="443"/>
      <c r="U327" s="355"/>
      <c r="V327" s="355"/>
      <c r="W327" s="355"/>
      <c r="X327" s="357"/>
      <c r="Y327" s="781" t="s">
        <v>586</v>
      </c>
      <c r="Z327" s="894">
        <f>IF(AD134&lt;850,850,IF(AD134&gt;1200,1200,AD134))</f>
        <v>1100</v>
      </c>
      <c r="AA327" s="894"/>
      <c r="AB327" s="610" t="s">
        <v>464</v>
      </c>
      <c r="AC327" s="516">
        <f>AD341</f>
        <v>1.016700364431487</v>
      </c>
      <c r="AE327" s="355"/>
    </row>
    <row r="328" spans="17:31" ht="19.5" customHeight="1">
      <c r="Q328" s="355"/>
      <c r="R328" s="355"/>
      <c r="S328" s="605"/>
      <c r="Y328" s="355"/>
      <c r="Z328" s="355"/>
      <c r="AA328" s="443"/>
      <c r="AB328" s="610" t="s">
        <v>465</v>
      </c>
      <c r="AC328" s="516">
        <f>AD353</f>
        <v>0.9499514273758362</v>
      </c>
      <c r="AE328" s="355"/>
    </row>
    <row r="329" spans="17:31" ht="19.5" customHeight="1">
      <c r="Q329" s="355"/>
      <c r="R329" s="355"/>
      <c r="S329" s="605"/>
      <c r="Y329" s="355"/>
      <c r="Z329" s="355"/>
      <c r="AA329" s="443"/>
      <c r="AB329" s="610" t="s">
        <v>466</v>
      </c>
      <c r="AC329" s="516">
        <f>AD361</f>
        <v>0.9572882702004412</v>
      </c>
      <c r="AE329" s="355"/>
    </row>
    <row r="330" spans="17:31" ht="19.5" customHeight="1">
      <c r="Q330" s="355"/>
      <c r="R330" s="355"/>
      <c r="S330" s="605"/>
      <c r="Y330" s="355"/>
      <c r="Z330" s="355"/>
      <c r="AA330" s="443"/>
      <c r="AB330" s="610" t="s">
        <v>467</v>
      </c>
      <c r="AC330" s="516">
        <f>AD372</f>
        <v>1</v>
      </c>
      <c r="AE330" s="355"/>
    </row>
    <row r="331" spans="17:31" ht="19.5" customHeight="1">
      <c r="Q331" s="355"/>
      <c r="R331" s="355"/>
      <c r="S331" s="605"/>
      <c r="Y331" s="355"/>
      <c r="Z331" s="355"/>
      <c r="AA331" s="443"/>
      <c r="AB331" s="610" t="s">
        <v>468</v>
      </c>
      <c r="AC331" s="516">
        <f>AD376</f>
        <v>1</v>
      </c>
      <c r="AE331" s="355"/>
    </row>
    <row r="332" spans="17:31" ht="19.5" customHeight="1">
      <c r="Q332" s="355"/>
      <c r="R332" s="355"/>
      <c r="S332" s="605"/>
      <c r="T332" s="443"/>
      <c r="U332" s="355"/>
      <c r="V332" s="355"/>
      <c r="W332" s="355"/>
      <c r="X332" s="357"/>
      <c r="Y332" s="355"/>
      <c r="Z332" s="355"/>
      <c r="AA332" s="443"/>
      <c r="AB332" s="443"/>
      <c r="AC332" s="355"/>
      <c r="AD332" s="355"/>
      <c r="AE332" s="355"/>
    </row>
    <row r="333" spans="17:31" ht="19.5" customHeight="1" thickBot="1">
      <c r="Q333" s="355"/>
      <c r="R333" s="355"/>
      <c r="S333" s="605"/>
      <c r="T333" s="416"/>
      <c r="U333" s="355"/>
      <c r="V333" s="355"/>
      <c r="W333" s="355"/>
      <c r="X333" s="357"/>
      <c r="AA333" s="443"/>
      <c r="AC333" s="355"/>
      <c r="AD333" s="355"/>
      <c r="AE333" s="355"/>
    </row>
    <row r="334" spans="17:30" ht="19.5" customHeight="1" thickBot="1">
      <c r="Q334" s="355"/>
      <c r="R334" s="355"/>
      <c r="T334" s="729" t="str">
        <f>H26</f>
        <v>Dayanma süresi faktörü </v>
      </c>
      <c r="U334" s="640"/>
      <c r="V334" s="355" t="s">
        <v>469</v>
      </c>
      <c r="W334" s="433" t="s">
        <v>419</v>
      </c>
      <c r="X334" s="355">
        <f>Y245</f>
        <v>3000000</v>
      </c>
      <c r="AA334" s="443"/>
      <c r="AC334" s="611" t="s">
        <v>463</v>
      </c>
      <c r="AD334" s="531">
        <f>IF(X334&lt;10^5,1.6,IF(X334&gt;=5*10^7,1,(5*10^7/X334)^0.0756))</f>
        <v>1.2370058841467824</v>
      </c>
    </row>
    <row r="335" spans="17:31" ht="19.5" customHeight="1" thickBot="1">
      <c r="Q335" s="355"/>
      <c r="R335" s="355"/>
      <c r="S335" s="605"/>
      <c r="T335" s="443"/>
      <c r="U335" s="355"/>
      <c r="V335" s="355"/>
      <c r="W335" s="355"/>
      <c r="X335" s="357"/>
      <c r="Y335" s="355"/>
      <c r="Z335" s="355"/>
      <c r="AA335" s="443"/>
      <c r="AC335" s="443"/>
      <c r="AD335" s="355"/>
      <c r="AE335" s="355"/>
    </row>
    <row r="336" spans="17:31" ht="19.5" customHeight="1">
      <c r="Q336" s="355"/>
      <c r="R336" s="355"/>
      <c r="S336" s="605"/>
      <c r="T336" s="895" t="s">
        <v>470</v>
      </c>
      <c r="U336" s="896"/>
      <c r="V336" s="896" t="s">
        <v>471</v>
      </c>
      <c r="W336" s="896"/>
      <c r="X336" s="896"/>
      <c r="Y336" s="897"/>
      <c r="Z336" s="355"/>
      <c r="AA336" s="443"/>
      <c r="AC336" s="443"/>
      <c r="AD336" s="355"/>
      <c r="AE336" s="355"/>
    </row>
    <row r="337" spans="17:31" ht="19.5" customHeight="1">
      <c r="Q337" s="355"/>
      <c r="R337" s="355"/>
      <c r="S337" s="605"/>
      <c r="T337" s="891" t="s">
        <v>472</v>
      </c>
      <c r="U337" s="892"/>
      <c r="V337" s="892" t="s">
        <v>473</v>
      </c>
      <c r="W337" s="892"/>
      <c r="X337" s="892"/>
      <c r="Y337" s="893"/>
      <c r="AA337" s="443"/>
      <c r="AC337" s="468"/>
      <c r="AD337" s="355"/>
      <c r="AE337" s="355"/>
    </row>
    <row r="338" spans="17:31" ht="19.5" customHeight="1">
      <c r="Q338" s="355"/>
      <c r="R338" s="355"/>
      <c r="S338" s="605"/>
      <c r="T338" s="891" t="s">
        <v>474</v>
      </c>
      <c r="U338" s="892"/>
      <c r="V338" s="892" t="s">
        <v>475</v>
      </c>
      <c r="W338" s="892"/>
      <c r="X338" s="892"/>
      <c r="Y338" s="893"/>
      <c r="AA338" s="443"/>
      <c r="AC338" s="443"/>
      <c r="AD338" s="355"/>
      <c r="AE338" s="355"/>
    </row>
    <row r="339" spans="17:31" ht="19.5" customHeight="1" thickBot="1">
      <c r="Q339" s="355"/>
      <c r="R339" s="355"/>
      <c r="S339" s="605"/>
      <c r="T339" s="884" t="s">
        <v>476</v>
      </c>
      <c r="U339" s="885"/>
      <c r="V339" s="885" t="s">
        <v>477</v>
      </c>
      <c r="W339" s="885"/>
      <c r="X339" s="885"/>
      <c r="Y339" s="886"/>
      <c r="Z339" s="355"/>
      <c r="AA339" s="443"/>
      <c r="AC339" s="443"/>
      <c r="AD339" s="355"/>
      <c r="AE339" s="355"/>
    </row>
    <row r="340" spans="17:31" ht="19.5" customHeight="1" thickBot="1">
      <c r="Q340" s="355"/>
      <c r="R340" s="355"/>
      <c r="AC340" s="468"/>
      <c r="AD340" s="355"/>
      <c r="AE340" s="355"/>
    </row>
    <row r="341" spans="17:30" ht="19.5" customHeight="1" thickBot="1">
      <c r="Q341" s="355"/>
      <c r="R341" s="355"/>
      <c r="T341" s="639" t="str">
        <f>H27</f>
        <v>Yağlama faktörü</v>
      </c>
      <c r="U341" s="640"/>
      <c r="V341" s="355" t="s">
        <v>106</v>
      </c>
      <c r="X341" s="759" t="s">
        <v>572</v>
      </c>
      <c r="Y341" s="758">
        <f>1!D9</f>
        <v>50</v>
      </c>
      <c r="AC341" s="611" t="s">
        <v>464</v>
      </c>
      <c r="AD341" s="531">
        <f>IF(Y341=50,AB343,AB347)</f>
        <v>1.016700364431487</v>
      </c>
    </row>
    <row r="342" spans="17:31" ht="19.5" customHeight="1">
      <c r="Q342" s="355"/>
      <c r="R342" s="355"/>
      <c r="S342" s="605"/>
      <c r="T342" s="443"/>
      <c r="U342" s="355"/>
      <c r="V342" s="355" t="str">
        <f>0!C111</f>
        <v>Yağ ve Viskositesi</v>
      </c>
      <c r="W342" s="355"/>
      <c r="X342" s="635" t="s">
        <v>554</v>
      </c>
      <c r="Y342" s="177">
        <v>50</v>
      </c>
      <c r="Z342" s="764">
        <f>1!F9</f>
        <v>120</v>
      </c>
      <c r="AA342" s="443"/>
      <c r="AB342" s="552"/>
      <c r="AC342" s="355"/>
      <c r="AD342" s="355"/>
      <c r="AE342" s="355"/>
    </row>
    <row r="343" spans="17:31" ht="19.5" customHeight="1">
      <c r="Q343" s="355"/>
      <c r="R343" s="355"/>
      <c r="S343" s="605"/>
      <c r="T343" s="443"/>
      <c r="U343" s="355"/>
      <c r="V343" s="355"/>
      <c r="W343" s="355"/>
      <c r="X343" s="357"/>
      <c r="Y343" s="355"/>
      <c r="Z343" s="433" t="s">
        <v>478</v>
      </c>
      <c r="AA343" s="521">
        <f>AA350+4*(1-AA350)/(1.2+80/Z342)^2</f>
        <v>1.016700364431487</v>
      </c>
      <c r="AB343" s="507">
        <f>IF(AA343&lt;AA344,AA343,AA344)</f>
        <v>1.016700364431487</v>
      </c>
      <c r="AC343" s="355"/>
      <c r="AD343" s="355"/>
      <c r="AE343" s="355"/>
    </row>
    <row r="344" spans="17:31" ht="19.5" customHeight="1">
      <c r="Q344" s="355"/>
      <c r="R344" s="355"/>
      <c r="S344" s="605"/>
      <c r="T344" s="443"/>
      <c r="U344" s="355"/>
      <c r="V344" s="355"/>
      <c r="W344" s="355"/>
      <c r="X344" s="357"/>
      <c r="Y344" s="355"/>
      <c r="Z344" s="433" t="s">
        <v>479</v>
      </c>
      <c r="AA344" s="521">
        <f>AA351+4*(1-AA351)/(1.2+80/Z342)^2</f>
        <v>1.016700364431487</v>
      </c>
      <c r="AB344" s="552"/>
      <c r="AC344" s="355"/>
      <c r="AD344" s="355"/>
      <c r="AE344" s="355"/>
    </row>
    <row r="345" spans="17:31" ht="19.5" customHeight="1">
      <c r="Q345" s="355"/>
      <c r="R345" s="355"/>
      <c r="S345" s="605"/>
      <c r="U345" s="355"/>
      <c r="Z345" s="433"/>
      <c r="AA345" s="443"/>
      <c r="AB345" s="552"/>
      <c r="AC345" s="355"/>
      <c r="AD345" s="355"/>
      <c r="AE345" s="355"/>
    </row>
    <row r="346" spans="17:31" ht="19.5" customHeight="1">
      <c r="Q346" s="355"/>
      <c r="R346" s="355"/>
      <c r="S346" s="605"/>
      <c r="T346" s="443"/>
      <c r="U346" s="355"/>
      <c r="V346" s="355" t="str">
        <f>0!C111</f>
        <v>Yağ ve Viskositesi</v>
      </c>
      <c r="X346" s="781" t="s">
        <v>554</v>
      </c>
      <c r="Y346" s="786">
        <f>Y341</f>
        <v>50</v>
      </c>
      <c r="Z346" s="355">
        <f>Z342</f>
        <v>120</v>
      </c>
      <c r="AA346" s="443"/>
      <c r="AB346" s="443"/>
      <c r="AC346" s="355"/>
      <c r="AD346" s="355"/>
      <c r="AE346" s="355"/>
    </row>
    <row r="347" spans="17:31" ht="19.5" customHeight="1">
      <c r="Q347" s="355"/>
      <c r="R347" s="355"/>
      <c r="S347" s="605"/>
      <c r="W347" s="355"/>
      <c r="X347" s="357"/>
      <c r="Y347" s="355"/>
      <c r="Z347" s="433" t="s">
        <v>480</v>
      </c>
      <c r="AA347" s="521">
        <f>AA350+4*(1-AA350)/(1.2+134/Z346)^2</f>
        <v>0.9712519900626262</v>
      </c>
      <c r="AB347" s="507">
        <f>IF(AA347&lt;AA348,AA347,AA348)</f>
        <v>0.9712519900626262</v>
      </c>
      <c r="AC347" s="355"/>
      <c r="AD347" s="355"/>
      <c r="AE347" s="355"/>
    </row>
    <row r="348" spans="17:31" ht="19.5" customHeight="1">
      <c r="Q348" s="355"/>
      <c r="R348" s="355"/>
      <c r="S348" s="605"/>
      <c r="T348" s="416"/>
      <c r="U348" s="355"/>
      <c r="V348" s="355"/>
      <c r="W348" s="355"/>
      <c r="X348" s="357"/>
      <c r="Y348" s="355"/>
      <c r="Z348" s="433" t="s">
        <v>481</v>
      </c>
      <c r="AA348" s="521">
        <f>AA351+4*(1-AA351)/(1.2+134/Z346)^2</f>
        <v>0.9712519900626262</v>
      </c>
      <c r="AC348" s="355"/>
      <c r="AD348" s="355"/>
      <c r="AE348" s="355"/>
    </row>
    <row r="349" spans="17:31" ht="19.5" customHeight="1">
      <c r="Q349" s="355"/>
      <c r="R349" s="355"/>
      <c r="S349" s="605"/>
      <c r="T349" s="443"/>
      <c r="U349" s="355"/>
      <c r="X349" s="357"/>
      <c r="AC349" s="355"/>
      <c r="AD349" s="355"/>
      <c r="AE349" s="355"/>
    </row>
    <row r="350" spans="17:31" ht="19.5" customHeight="1">
      <c r="Q350" s="355"/>
      <c r="R350" s="355"/>
      <c r="S350" s="605"/>
      <c r="T350" s="416"/>
      <c r="U350" s="355"/>
      <c r="V350" s="355"/>
      <c r="W350" s="355"/>
      <c r="X350" s="355"/>
      <c r="Y350" s="355"/>
      <c r="Z350" s="433" t="s">
        <v>482</v>
      </c>
      <c r="AA350" s="521">
        <f>Z326/4375+0.6357</f>
        <v>0.8871285714285715</v>
      </c>
      <c r="AC350" s="355"/>
      <c r="AD350" s="355"/>
      <c r="AE350" s="355"/>
    </row>
    <row r="351" spans="17:31" ht="19.5" customHeight="1">
      <c r="Q351" s="355"/>
      <c r="R351" s="355"/>
      <c r="S351" s="605"/>
      <c r="T351" s="416"/>
      <c r="U351" s="355"/>
      <c r="V351" s="355"/>
      <c r="W351" s="355"/>
      <c r="X351" s="357"/>
      <c r="Y351" s="355"/>
      <c r="Z351" s="433" t="s">
        <v>483</v>
      </c>
      <c r="AA351" s="521">
        <f>Z327/4375+0.6357</f>
        <v>0.8871285714285715</v>
      </c>
      <c r="AC351" s="355"/>
      <c r="AD351" s="355"/>
      <c r="AE351" s="355"/>
    </row>
    <row r="352" spans="17:31" ht="19.5" customHeight="1" thickBot="1">
      <c r="Q352" s="355"/>
      <c r="R352" s="355"/>
      <c r="S352" s="605"/>
      <c r="T352" s="443"/>
      <c r="U352" s="355"/>
      <c r="V352" s="355"/>
      <c r="W352" s="355"/>
      <c r="X352" s="357"/>
      <c r="Y352" s="355"/>
      <c r="AC352" s="355"/>
      <c r="AD352" s="355"/>
      <c r="AE352" s="355"/>
    </row>
    <row r="353" spans="17:31" ht="19.5" customHeight="1" thickBot="1">
      <c r="Q353" s="355"/>
      <c r="R353" s="355"/>
      <c r="T353" s="639" t="str">
        <f>H28</f>
        <v>Hız faktörü</v>
      </c>
      <c r="U353" s="640"/>
      <c r="V353" s="355" t="s">
        <v>107</v>
      </c>
      <c r="W353" s="355"/>
      <c r="X353" s="357"/>
      <c r="Y353" s="355"/>
      <c r="Z353" s="355"/>
      <c r="AA353" s="443"/>
      <c r="AC353" s="611" t="s">
        <v>465</v>
      </c>
      <c r="AD353" s="531">
        <f>IF(AA354&lt;AA355,AA354,AA355)</f>
        <v>0.9499514273758362</v>
      </c>
      <c r="AE353" s="355"/>
    </row>
    <row r="354" spans="17:31" ht="19.5" customHeight="1">
      <c r="Q354" s="355"/>
      <c r="R354" s="355"/>
      <c r="S354" s="605"/>
      <c r="W354" s="1"/>
      <c r="X354" s="1"/>
      <c r="Z354" s="433" t="s">
        <v>484</v>
      </c>
      <c r="AA354" s="521">
        <f>AA357+2*(1-AA357)/(0.8+32/W356)^0.5</f>
        <v>0.9499514273758362</v>
      </c>
      <c r="AC354" s="355"/>
      <c r="AD354" s="355"/>
      <c r="AE354" s="355"/>
    </row>
    <row r="355" spans="17:31" ht="19.5" customHeight="1">
      <c r="Q355" s="355"/>
      <c r="R355" s="355"/>
      <c r="S355" s="605"/>
      <c r="T355" s="443"/>
      <c r="U355" s="355"/>
      <c r="V355" s="355"/>
      <c r="Z355" s="433" t="s">
        <v>485</v>
      </c>
      <c r="AA355" s="521">
        <f>AA358+2*(1-AA358)/(0.8+32/W356)^0.5</f>
        <v>0.9499514273758362</v>
      </c>
      <c r="AC355" s="355"/>
      <c r="AD355" s="355"/>
      <c r="AE355" s="355"/>
    </row>
    <row r="356" spans="17:31" ht="19.5" customHeight="1">
      <c r="Q356" s="355"/>
      <c r="R356" s="355"/>
      <c r="S356" s="605"/>
      <c r="T356" s="416"/>
      <c r="U356" s="355"/>
      <c r="V356" s="433" t="s">
        <v>327</v>
      </c>
      <c r="W356" s="510">
        <f>Y105</f>
        <v>1.7764309625239045</v>
      </c>
      <c r="X356" s="355" t="s">
        <v>486</v>
      </c>
      <c r="AC356" s="355"/>
      <c r="AD356" s="355"/>
      <c r="AE356" s="355"/>
    </row>
    <row r="357" spans="17:31" ht="19.5" customHeight="1">
      <c r="Q357" s="355"/>
      <c r="R357" s="355"/>
      <c r="S357" s="605"/>
      <c r="T357" s="443"/>
      <c r="U357" s="355"/>
      <c r="V357" s="355"/>
      <c r="Z357" s="433" t="s">
        <v>487</v>
      </c>
      <c r="AA357" s="521">
        <f>AA350+0.02</f>
        <v>0.9071285714285715</v>
      </c>
      <c r="AC357" s="355"/>
      <c r="AD357" s="355"/>
      <c r="AE357" s="355"/>
    </row>
    <row r="358" spans="17:31" ht="19.5" customHeight="1">
      <c r="Q358" s="355"/>
      <c r="R358" s="355"/>
      <c r="S358" s="605"/>
      <c r="T358" s="416"/>
      <c r="U358" s="355"/>
      <c r="V358" s="355"/>
      <c r="Z358" s="433" t="s">
        <v>488</v>
      </c>
      <c r="AA358" s="521">
        <f>AA351+0.02</f>
        <v>0.9071285714285715</v>
      </c>
      <c r="AC358" s="355"/>
      <c r="AD358" s="355"/>
      <c r="AE358" s="355"/>
    </row>
    <row r="359" spans="17:31" ht="19.5" customHeight="1">
      <c r="Q359" s="355"/>
      <c r="R359" s="355"/>
      <c r="S359" s="605"/>
      <c r="T359" s="443"/>
      <c r="U359" s="355"/>
      <c r="V359" s="355"/>
      <c r="AC359" s="355"/>
      <c r="AD359" s="355"/>
      <c r="AE359" s="355"/>
    </row>
    <row r="360" spans="17:31" ht="19.5" customHeight="1" thickBot="1">
      <c r="Q360" s="355"/>
      <c r="R360" s="355"/>
      <c r="S360" s="605"/>
      <c r="T360" s="416"/>
      <c r="U360" s="355"/>
      <c r="V360" s="355"/>
      <c r="AC360" s="355"/>
      <c r="AD360" s="355"/>
      <c r="AE360" s="355"/>
    </row>
    <row r="361" spans="17:31" ht="19.5" customHeight="1" thickBot="1">
      <c r="Q361" s="355"/>
      <c r="R361" s="355"/>
      <c r="T361" s="639" t="str">
        <f>H29</f>
        <v>Kalite faktörü</v>
      </c>
      <c r="U361" s="640"/>
      <c r="V361" s="355" t="s">
        <v>108</v>
      </c>
      <c r="W361" s="355"/>
      <c r="X361" s="357"/>
      <c r="Y361" s="355"/>
      <c r="AC361" s="611" t="s">
        <v>466</v>
      </c>
      <c r="AD361" s="531">
        <f>IF(AA363&lt;AA364,AA363,AA364)</f>
        <v>0.9572882702004412</v>
      </c>
      <c r="AE361" s="355"/>
    </row>
    <row r="362" spans="17:31" ht="19.5" customHeight="1">
      <c r="Q362" s="355"/>
      <c r="R362" s="355"/>
      <c r="S362" s="605"/>
      <c r="T362" s="443"/>
      <c r="U362" s="355"/>
      <c r="V362" s="355"/>
      <c r="W362" s="355"/>
      <c r="X362" s="357"/>
      <c r="Y362" s="355"/>
      <c r="Z362" s="355"/>
      <c r="AA362" s="443"/>
      <c r="AB362" s="443"/>
      <c r="AC362" s="355"/>
      <c r="AD362" s="355"/>
      <c r="AE362" s="355"/>
    </row>
    <row r="363" spans="17:31" ht="19.5" customHeight="1">
      <c r="Q363" s="355"/>
      <c r="R363" s="355"/>
      <c r="S363" s="605"/>
      <c r="W363" s="355"/>
      <c r="X363" s="357"/>
      <c r="Y363" s="355"/>
      <c r="Z363" s="433" t="s">
        <v>489</v>
      </c>
      <c r="AA363" s="552">
        <f>(3/AA365)^AA367</f>
        <v>0.9572882702004412</v>
      </c>
      <c r="AC363" s="355"/>
      <c r="AD363" s="355"/>
      <c r="AE363" s="355"/>
    </row>
    <row r="364" spans="17:31" ht="19.5" customHeight="1">
      <c r="Q364" s="355"/>
      <c r="R364" s="355"/>
      <c r="S364" s="605"/>
      <c r="T364" s="443"/>
      <c r="U364" s="355"/>
      <c r="V364" s="355"/>
      <c r="W364" s="757" t="s">
        <v>490</v>
      </c>
      <c r="X364" s="758">
        <f>4!D12</f>
        <v>250</v>
      </c>
      <c r="Z364" s="433" t="s">
        <v>491</v>
      </c>
      <c r="AA364" s="552">
        <f>(3/AA365)^AA368</f>
        <v>0.9572882702004412</v>
      </c>
      <c r="AC364" s="355"/>
      <c r="AD364" s="355"/>
      <c r="AE364" s="355"/>
    </row>
    <row r="365" spans="17:31" ht="19.5" customHeight="1">
      <c r="Q365" s="355"/>
      <c r="R365" s="355"/>
      <c r="S365" s="605"/>
      <c r="T365" s="443"/>
      <c r="U365" s="355"/>
      <c r="V365" s="355"/>
      <c r="W365" s="433" t="s">
        <v>492</v>
      </c>
      <c r="X365" s="177">
        <f>AA266</f>
        <v>6.3</v>
      </c>
      <c r="Z365" s="433" t="s">
        <v>493</v>
      </c>
      <c r="AA365" s="552">
        <f>(X365+X366)/2*(100/X364)^0.333333333</f>
        <v>4.641879689704657</v>
      </c>
      <c r="AC365" s="355"/>
      <c r="AD365" s="355"/>
      <c r="AE365" s="355"/>
    </row>
    <row r="366" spans="17:31" ht="19.5" customHeight="1">
      <c r="Q366" s="355"/>
      <c r="R366" s="355"/>
      <c r="S366" s="605"/>
      <c r="T366" s="416"/>
      <c r="U366" s="355"/>
      <c r="V366" s="355"/>
      <c r="W366" s="433" t="s">
        <v>494</v>
      </c>
      <c r="X366" s="177">
        <f>AC266</f>
        <v>6.3</v>
      </c>
      <c r="Z366" s="355"/>
      <c r="AA366" s="443"/>
      <c r="AC366" s="355"/>
      <c r="AD366" s="355"/>
      <c r="AE366" s="355"/>
    </row>
    <row r="367" spans="17:31" ht="19.5" customHeight="1">
      <c r="Q367" s="355"/>
      <c r="R367" s="355"/>
      <c r="S367" s="605"/>
      <c r="T367" s="416"/>
      <c r="U367" s="355"/>
      <c r="V367" s="355"/>
      <c r="W367" s="355"/>
      <c r="X367" s="355"/>
      <c r="Y367" s="355"/>
      <c r="Z367" s="433" t="s">
        <v>495</v>
      </c>
      <c r="AA367" s="552">
        <f>IF(Z326&lt;849,0.15,IF(Z326&gt;1200,0.08,0.32-0.0002*Z326))</f>
        <v>0.1</v>
      </c>
      <c r="AC367" s="355"/>
      <c r="AD367" s="355"/>
      <c r="AE367" s="355"/>
    </row>
    <row r="368" spans="17:31" ht="19.5" customHeight="1">
      <c r="Q368" s="355"/>
      <c r="R368" s="355"/>
      <c r="S368" s="605"/>
      <c r="T368" s="416"/>
      <c r="U368" s="355"/>
      <c r="V368" s="355"/>
      <c r="W368" s="355"/>
      <c r="X368" s="355"/>
      <c r="Y368" s="355"/>
      <c r="Z368" s="433" t="s">
        <v>496</v>
      </c>
      <c r="AA368" s="552">
        <f>IF(Z327&lt;849,0.15,IF(Z327&gt;1200,0.08,0.32-0.0002*Z327))</f>
        <v>0.1</v>
      </c>
      <c r="AC368" s="355"/>
      <c r="AD368" s="355"/>
      <c r="AE368" s="355"/>
    </row>
    <row r="369" spans="17:31" ht="19.5" customHeight="1">
      <c r="Q369" s="355"/>
      <c r="R369" s="355"/>
      <c r="S369" s="605"/>
      <c r="T369" s="416"/>
      <c r="U369" s="355"/>
      <c r="V369" s="355"/>
      <c r="W369" s="355"/>
      <c r="X369" s="357"/>
      <c r="Y369" s="355"/>
      <c r="Z369" s="433"/>
      <c r="AA369" s="443"/>
      <c r="AB369" s="552"/>
      <c r="AC369" s="355"/>
      <c r="AD369" s="355"/>
      <c r="AE369" s="355"/>
    </row>
    <row r="370" spans="17:31" ht="19.5" customHeight="1">
      <c r="Q370" s="355"/>
      <c r="R370" s="355"/>
      <c r="S370" s="605"/>
      <c r="T370" s="416"/>
      <c r="U370" s="355"/>
      <c r="V370" s="355"/>
      <c r="W370" s="355"/>
      <c r="X370" s="357"/>
      <c r="Y370" s="355"/>
      <c r="Z370" s="433"/>
      <c r="AA370" s="443"/>
      <c r="AB370" s="552"/>
      <c r="AC370" s="355"/>
      <c r="AD370" s="355"/>
      <c r="AE370" s="355"/>
    </row>
    <row r="371" spans="17:31" ht="19.5" customHeight="1" thickBot="1">
      <c r="Q371" s="355"/>
      <c r="R371" s="355"/>
      <c r="S371" s="605"/>
      <c r="T371" s="416"/>
      <c r="U371" s="355"/>
      <c r="V371" s="355"/>
      <c r="W371" s="355"/>
      <c r="X371" s="357"/>
      <c r="Y371" s="355"/>
      <c r="Z371" s="433"/>
      <c r="AA371" s="443"/>
      <c r="AB371" s="552"/>
      <c r="AC371" s="355"/>
      <c r="AD371" s="355"/>
      <c r="AE371" s="355"/>
    </row>
    <row r="372" spans="17:31" ht="19.5" customHeight="1" thickBot="1">
      <c r="Q372" s="355"/>
      <c r="R372" s="355"/>
      <c r="T372" s="639" t="str">
        <f>H30</f>
        <v>Malzeme çifti faktörü</v>
      </c>
      <c r="U372" s="640"/>
      <c r="V372" s="355" t="s">
        <v>497</v>
      </c>
      <c r="W372" s="355"/>
      <c r="X372" s="357"/>
      <c r="Y372" s="355"/>
      <c r="Z372" s="177"/>
      <c r="AC372" s="611" t="s">
        <v>467</v>
      </c>
      <c r="AD372" s="531">
        <f>IF(AA374&lt;AA375,AA374,AA375)</f>
        <v>1</v>
      </c>
      <c r="AE372" s="355"/>
    </row>
    <row r="373" spans="17:31" ht="19.5" customHeight="1">
      <c r="Q373" s="355"/>
      <c r="R373" s="355"/>
      <c r="S373" s="605"/>
      <c r="T373" s="416"/>
      <c r="U373" s="355"/>
      <c r="V373" s="355"/>
      <c r="W373" s="355"/>
      <c r="X373" s="357"/>
      <c r="Y373" s="355"/>
      <c r="Z373" s="433"/>
      <c r="AA373" s="443"/>
      <c r="AC373" s="552"/>
      <c r="AD373" s="355"/>
      <c r="AE373" s="355"/>
    </row>
    <row r="374" spans="17:29" ht="19.5" customHeight="1">
      <c r="Q374" s="355"/>
      <c r="R374" s="355"/>
      <c r="U374" s="468"/>
      <c r="W374" s="757" t="s">
        <v>573</v>
      </c>
      <c r="X374" s="758">
        <f>1!G35</f>
        <v>525</v>
      </c>
      <c r="Z374" s="433" t="s">
        <v>498</v>
      </c>
      <c r="AA374" s="552">
        <f>IF(X374&gt;469,1,IF(X374&lt;130,1.2,1.2-(X374-130)/1700))</f>
        <v>1</v>
      </c>
      <c r="AC374" s="468"/>
    </row>
    <row r="375" spans="17:29" ht="19.5" customHeight="1" thickBot="1">
      <c r="Q375" s="355"/>
      <c r="R375" s="355"/>
      <c r="U375" s="468"/>
      <c r="W375" s="757" t="s">
        <v>574</v>
      </c>
      <c r="X375" s="758">
        <f>1!G36</f>
        <v>525</v>
      </c>
      <c r="Z375" s="433" t="s">
        <v>499</v>
      </c>
      <c r="AA375" s="552">
        <f>IF(X375&gt;469,1,IF(X375&lt;130,1.2,1.2-(X375-130)/1700))</f>
        <v>1</v>
      </c>
      <c r="AC375" s="468"/>
    </row>
    <row r="376" spans="17:30" ht="19.5" customHeight="1" thickBot="1">
      <c r="Q376" s="355"/>
      <c r="R376" s="355"/>
      <c r="AC376" s="611" t="s">
        <v>468</v>
      </c>
      <c r="AD376" s="531">
        <f>IF(S383&lt;1.5,AD380,IF(S383&lt;2.5,AD381,AD382))</f>
        <v>1</v>
      </c>
    </row>
    <row r="377" spans="17:31" ht="19.5" customHeight="1" thickBot="1">
      <c r="Q377" s="355"/>
      <c r="R377" s="355"/>
      <c r="T377" s="639" t="str">
        <f>B29</f>
        <v>Büyüklük faktörü</v>
      </c>
      <c r="U377" s="640"/>
      <c r="V377" s="355" t="s">
        <v>500</v>
      </c>
      <c r="X377" s="433" t="s">
        <v>250</v>
      </c>
      <c r="Y377" s="641">
        <f>AA58</f>
        <v>5</v>
      </c>
      <c r="AC377" s="355"/>
      <c r="AD377" s="355"/>
      <c r="AE377" s="355"/>
    </row>
    <row r="378" spans="17:31" ht="19.5" customHeight="1">
      <c r="Q378" s="355"/>
      <c r="R378" s="355"/>
      <c r="S378" s="887" t="s">
        <v>351</v>
      </c>
      <c r="T378" s="888"/>
      <c r="U378" s="888"/>
      <c r="V378" s="888"/>
      <c r="W378" s="888"/>
      <c r="X378" s="888" t="s">
        <v>432</v>
      </c>
      <c r="Y378" s="888"/>
      <c r="Z378" s="888"/>
      <c r="AA378" s="888"/>
      <c r="AB378" s="888"/>
      <c r="AC378" s="890"/>
      <c r="AE378" s="355"/>
    </row>
    <row r="379" spans="17:31" ht="19.5" customHeight="1">
      <c r="Q379" s="355"/>
      <c r="R379" s="355"/>
      <c r="S379" s="889"/>
      <c r="T379" s="880"/>
      <c r="U379" s="880"/>
      <c r="V379" s="880"/>
      <c r="W379" s="880"/>
      <c r="X379" s="437" t="s">
        <v>501</v>
      </c>
      <c r="Y379" s="880" t="s">
        <v>502</v>
      </c>
      <c r="Z379" s="880"/>
      <c r="AA379" s="880"/>
      <c r="AB379" s="880"/>
      <c r="AC379" s="624" t="s">
        <v>503</v>
      </c>
      <c r="AE379" s="355"/>
    </row>
    <row r="380" spans="17:30" ht="19.5" customHeight="1">
      <c r="Q380" s="355"/>
      <c r="R380" s="355"/>
      <c r="S380" s="878" t="str">
        <f>1!L37</f>
        <v>1 - Demir döküm (GG, GGG)</v>
      </c>
      <c r="T380" s="879"/>
      <c r="U380" s="879"/>
      <c r="V380" s="879"/>
      <c r="W380" s="879"/>
      <c r="X380" s="880" t="s">
        <v>504</v>
      </c>
      <c r="Y380" s="880" t="s">
        <v>437</v>
      </c>
      <c r="Z380" s="880"/>
      <c r="AA380" s="880"/>
      <c r="AB380" s="880"/>
      <c r="AC380" s="624" t="s">
        <v>438</v>
      </c>
      <c r="AD380" s="546">
        <f>IF(Y377&lt;7,1,IF(Y377&gt;30,0.7,1.075-0.015*Y377))</f>
        <v>1</v>
      </c>
    </row>
    <row r="381" spans="19:30" ht="19.5" customHeight="1">
      <c r="S381" s="878" t="str">
        <f>1!L38</f>
        <v>2 - Bütün çelikler, (Rm&lt;800 N/mm2, St, GS)</v>
      </c>
      <c r="T381" s="879"/>
      <c r="U381" s="879"/>
      <c r="V381" s="879"/>
      <c r="W381" s="879"/>
      <c r="X381" s="880"/>
      <c r="Y381" s="880" t="s">
        <v>439</v>
      </c>
      <c r="Z381" s="880"/>
      <c r="AA381" s="880"/>
      <c r="AB381" s="880"/>
      <c r="AC381" s="624" t="s">
        <v>505</v>
      </c>
      <c r="AD381" s="573">
        <f>IF(Y377&lt;7,1,IF(Y377&gt;30,0.9,1.03-0.006*Y377))</f>
        <v>1</v>
      </c>
    </row>
    <row r="382" spans="19:30" ht="19.5" customHeight="1" thickBot="1">
      <c r="S382" s="882" t="str">
        <f>1!L39</f>
        <v>3 - Bütün sertleştirilmiş çelikler, (Rm&gt;800 N/mm2)</v>
      </c>
      <c r="T382" s="883"/>
      <c r="U382" s="883"/>
      <c r="V382" s="883"/>
      <c r="W382" s="883"/>
      <c r="X382" s="881"/>
      <c r="Y382" s="881" t="s">
        <v>441</v>
      </c>
      <c r="Z382" s="881"/>
      <c r="AA382" s="881"/>
      <c r="AB382" s="881"/>
      <c r="AC382" s="625" t="s">
        <v>506</v>
      </c>
      <c r="AD382" s="573">
        <f>IF(Y377&lt;7,1,IF(Y377&gt;30,0.8,1.05-0.01*Y377))</f>
        <v>1</v>
      </c>
    </row>
    <row r="383" spans="19:31" ht="15" customHeight="1">
      <c r="S383" s="763">
        <f>S252</f>
        <v>3</v>
      </c>
      <c r="T383" s="443"/>
      <c r="U383" s="355"/>
      <c r="V383" s="355"/>
      <c r="W383" s="355"/>
      <c r="X383" s="355"/>
      <c r="Y383" s="355"/>
      <c r="Z383" s="355"/>
      <c r="AA383" s="443"/>
      <c r="AB383" s="443"/>
      <c r="AC383" s="355"/>
      <c r="AD383" s="355"/>
      <c r="AE383" s="355"/>
    </row>
  </sheetData>
  <sheetProtection password="EF77" sheet="1" objects="1" scenarios="1"/>
  <mergeCells count="146">
    <mergeCell ref="S380:W380"/>
    <mergeCell ref="X380:X382"/>
    <mergeCell ref="Y380:AB380"/>
    <mergeCell ref="S381:W381"/>
    <mergeCell ref="Y381:AB381"/>
    <mergeCell ref="S382:W382"/>
    <mergeCell ref="Y382:AB382"/>
    <mergeCell ref="T339:U339"/>
    <mergeCell ref="V339:Y339"/>
    <mergeCell ref="S378:W379"/>
    <mergeCell ref="X378:AC378"/>
    <mergeCell ref="Y379:AB379"/>
    <mergeCell ref="T337:U337"/>
    <mergeCell ref="V337:Y337"/>
    <mergeCell ref="T338:U338"/>
    <mergeCell ref="V338:Y338"/>
    <mergeCell ref="Z326:AA326"/>
    <mergeCell ref="Z327:AA327"/>
    <mergeCell ref="T336:U336"/>
    <mergeCell ref="V336:Y336"/>
    <mergeCell ref="S274:W274"/>
    <mergeCell ref="X274:X276"/>
    <mergeCell ref="Y274:AB274"/>
    <mergeCell ref="S275:W275"/>
    <mergeCell ref="Y275:AB275"/>
    <mergeCell ref="S276:W276"/>
    <mergeCell ref="Y276:AB276"/>
    <mergeCell ref="S264:W264"/>
    <mergeCell ref="Z264:AC264"/>
    <mergeCell ref="S272:W273"/>
    <mergeCell ref="X272:AC272"/>
    <mergeCell ref="Y273:AB273"/>
    <mergeCell ref="S262:W262"/>
    <mergeCell ref="Z262:AC262"/>
    <mergeCell ref="S263:W263"/>
    <mergeCell ref="Z263:AC263"/>
    <mergeCell ref="S260:W261"/>
    <mergeCell ref="X260:AC260"/>
    <mergeCell ref="X261:Y261"/>
    <mergeCell ref="Z261:AC261"/>
    <mergeCell ref="S249:W249"/>
    <mergeCell ref="Y249:Z249"/>
    <mergeCell ref="AA249:AB251"/>
    <mergeCell ref="S250:W250"/>
    <mergeCell ref="Y250:Z250"/>
    <mergeCell ref="S251:W251"/>
    <mergeCell ref="Y251:Z251"/>
    <mergeCell ref="S247:W248"/>
    <mergeCell ref="X247:AB247"/>
    <mergeCell ref="Y248:Z248"/>
    <mergeCell ref="AA248:AB248"/>
    <mergeCell ref="Z187:AA188"/>
    <mergeCell ref="AB187:AD187"/>
    <mergeCell ref="AB188:AD188"/>
    <mergeCell ref="T211:V211"/>
    <mergeCell ref="T187:T188"/>
    <mergeCell ref="V187:W188"/>
    <mergeCell ref="X187:X188"/>
    <mergeCell ref="Y187:Y188"/>
    <mergeCell ref="X183:X184"/>
    <mergeCell ref="Y183:Y184"/>
    <mergeCell ref="Z183:AD184"/>
    <mergeCell ref="S185:S188"/>
    <mergeCell ref="T185:T186"/>
    <mergeCell ref="V185:X186"/>
    <mergeCell ref="Y185:Y186"/>
    <mergeCell ref="Z185:AA186"/>
    <mergeCell ref="AB185:AD185"/>
    <mergeCell ref="AB186:AD186"/>
    <mergeCell ref="X181:X182"/>
    <mergeCell ref="Y181:Y182"/>
    <mergeCell ref="Z181:AD181"/>
    <mergeCell ref="Z182:AD182"/>
    <mergeCell ref="S180:U180"/>
    <mergeCell ref="S181:S184"/>
    <mergeCell ref="T181:T182"/>
    <mergeCell ref="V181:W182"/>
    <mergeCell ref="T183:T184"/>
    <mergeCell ref="V183:V184"/>
    <mergeCell ref="W183:W184"/>
    <mergeCell ref="V177:AD177"/>
    <mergeCell ref="V178:AC178"/>
    <mergeCell ref="AD178:AD179"/>
    <mergeCell ref="S179:U179"/>
    <mergeCell ref="T166:T167"/>
    <mergeCell ref="T170:T171"/>
    <mergeCell ref="T173:T174"/>
    <mergeCell ref="S177:U178"/>
    <mergeCell ref="U141:V141"/>
    <mergeCell ref="U142:V142"/>
    <mergeCell ref="U161:AA161"/>
    <mergeCell ref="T163:T164"/>
    <mergeCell ref="U137:V137"/>
    <mergeCell ref="U138:V138"/>
    <mergeCell ref="U139:V139"/>
    <mergeCell ref="U140:V140"/>
    <mergeCell ref="T134:T135"/>
    <mergeCell ref="U134:V135"/>
    <mergeCell ref="W134:Y134"/>
    <mergeCell ref="U136:V136"/>
    <mergeCell ref="AD129:AD130"/>
    <mergeCell ref="T131:V132"/>
    <mergeCell ref="W131:W132"/>
    <mergeCell ref="X131:X132"/>
    <mergeCell ref="Y131:Y132"/>
    <mergeCell ref="Z131:Z132"/>
    <mergeCell ref="AA131:AA132"/>
    <mergeCell ref="AB131:AB132"/>
    <mergeCell ref="AC131:AC132"/>
    <mergeCell ref="AD131:AD132"/>
    <mergeCell ref="AC127:AC128"/>
    <mergeCell ref="AD127:AD128"/>
    <mergeCell ref="T129:V130"/>
    <mergeCell ref="W129:W130"/>
    <mergeCell ref="X129:X130"/>
    <mergeCell ref="Y129:Y130"/>
    <mergeCell ref="Z129:Z130"/>
    <mergeCell ref="AA129:AA130"/>
    <mergeCell ref="AB129:AB130"/>
    <mergeCell ref="AC129:AC130"/>
    <mergeCell ref="T124:V126"/>
    <mergeCell ref="W124:AC124"/>
    <mergeCell ref="W125:W126"/>
    <mergeCell ref="T127:V128"/>
    <mergeCell ref="W127:W128"/>
    <mergeCell ref="X127:X128"/>
    <mergeCell ref="Y127:Y128"/>
    <mergeCell ref="Z127:Z128"/>
    <mergeCell ref="AA127:AA128"/>
    <mergeCell ref="AB127:AB128"/>
    <mergeCell ref="T109:U109"/>
    <mergeCell ref="T110:U110"/>
    <mergeCell ref="T113:U113"/>
    <mergeCell ref="T114:U114"/>
    <mergeCell ref="E32:F32"/>
    <mergeCell ref="E33:F33"/>
    <mergeCell ref="K34:L34"/>
    <mergeCell ref="K35:L35"/>
    <mergeCell ref="S27:AD27"/>
    <mergeCell ref="S14:AD15"/>
    <mergeCell ref="S17:AD17"/>
    <mergeCell ref="S19:AD20"/>
    <mergeCell ref="M18:N22"/>
    <mergeCell ref="M10:N17"/>
    <mergeCell ref="S22:AD22"/>
    <mergeCell ref="S24:AD25"/>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90" r:id="rId58"/>
  <headerFooter alignWithMargins="0">
    <oddFooter>&amp;L&amp;F / &amp;A / &amp;D&amp;RSeite &amp;P von &amp;N</oddFooter>
  </headerFooter>
  <ignoredErrors>
    <ignoredError sqref="M8:N8" unlockedFormula="1"/>
    <ignoredError sqref="K22 AD57" formula="1"/>
  </ignoredErrors>
  <legacyDrawing r:id="rId57"/>
  <oleObjects>
    <oleObject progId="Equation.3" shapeId="1064483" r:id="rId1"/>
    <oleObject progId="Equation.3" shapeId="1064484" r:id="rId2"/>
    <oleObject progId="Equation.3" shapeId="1064485" r:id="rId3"/>
    <oleObject progId="Equation.3" shapeId="1064486" r:id="rId4"/>
    <oleObject progId="Equation.3" shapeId="1064487" r:id="rId5"/>
    <oleObject progId="Equation.3" shapeId="1064488" r:id="rId6"/>
    <oleObject progId="Equation.3" shapeId="1064489" r:id="rId7"/>
    <oleObject progId="Equation.3" shapeId="1064490" r:id="rId8"/>
    <oleObject progId="Equation.3" shapeId="1064491" r:id="rId9"/>
    <oleObject progId="Equation.3" shapeId="1064492" r:id="rId10"/>
    <oleObject progId="Equation.3" shapeId="1064493" r:id="rId11"/>
    <oleObject progId="Equation.3" shapeId="1064494" r:id="rId12"/>
    <oleObject progId="Equation.3" shapeId="1064495" r:id="rId13"/>
    <oleObject progId="Equation.3" shapeId="1064496" r:id="rId14"/>
    <oleObject progId="Equation.3" shapeId="1064497" r:id="rId15"/>
    <oleObject progId="Equation.3" shapeId="1064498" r:id="rId16"/>
    <oleObject progId="Equation.3" shapeId="1064499" r:id="rId17"/>
    <oleObject progId="Equation.3" shapeId="1064500" r:id="rId18"/>
    <oleObject progId="Equation.3" shapeId="1064501" r:id="rId19"/>
    <oleObject progId="Equation.3" shapeId="1064502" r:id="rId20"/>
    <oleObject progId="Equation.3" shapeId="1064503" r:id="rId21"/>
    <oleObject progId="Equation.3" shapeId="1064504" r:id="rId22"/>
    <oleObject progId="Equation.3" shapeId="1064505" r:id="rId23"/>
    <oleObject progId="Equation.3" shapeId="1064506" r:id="rId24"/>
    <oleObject progId="Equation.3" shapeId="1064507" r:id="rId25"/>
    <oleObject progId="Equation.3" shapeId="1064508" r:id="rId26"/>
    <oleObject progId="Equation.3" shapeId="1064509" r:id="rId27"/>
    <oleObject progId="Equation.3" shapeId="1064510" r:id="rId28"/>
    <oleObject progId="Equation.3" shapeId="1064511" r:id="rId29"/>
    <oleObject progId="Equation.3" shapeId="1064512" r:id="rId30"/>
    <oleObject progId="Equation.3" shapeId="1064513" r:id="rId31"/>
    <oleObject progId="Equation.3" shapeId="1064514" r:id="rId32"/>
    <oleObject progId="Equation.3" shapeId="1064515" r:id="rId33"/>
    <oleObject progId="Equation.3" shapeId="1064516" r:id="rId34"/>
    <oleObject progId="Equation.3" shapeId="1064517" r:id="rId35"/>
    <oleObject progId="Equation.3" shapeId="1064518" r:id="rId36"/>
    <oleObject progId="Equation.3" shapeId="1064519" r:id="rId37"/>
    <oleObject progId="Equation.3" shapeId="1064520" r:id="rId38"/>
    <oleObject progId="Equation.3" shapeId="1064521" r:id="rId39"/>
    <oleObject progId="Equation.3" shapeId="1064522" r:id="rId40"/>
    <oleObject progId="Equation.3" shapeId="1064523" r:id="rId41"/>
    <oleObject progId="Equation.3" shapeId="1064524" r:id="rId42"/>
    <oleObject progId="Equation.3" shapeId="1064525" r:id="rId43"/>
    <oleObject progId="Equation.3" shapeId="1064526" r:id="rId44"/>
    <oleObject progId="Equation.3" shapeId="1064527" r:id="rId45"/>
    <oleObject progId="Equation.3" shapeId="1064528" r:id="rId46"/>
    <oleObject progId="Equation.3" shapeId="1064529" r:id="rId47"/>
    <oleObject progId="Equation.3" shapeId="1064530" r:id="rId48"/>
    <oleObject progId="Equation.3" shapeId="1064531" r:id="rId49"/>
    <oleObject progId="Equation.3" shapeId="1064532" r:id="rId50"/>
    <oleObject progId="Equation.3" shapeId="1064533" r:id="rId51"/>
    <oleObject progId="Equation.3" shapeId="1064534" r:id="rId52"/>
    <oleObject progId="Equation.3" shapeId="1064535" r:id="rId53"/>
    <oleObject progId="Equation.3" shapeId="1064536" r:id="rId54"/>
    <oleObject progId="Equation.3" shapeId="1064537" r:id="rId55"/>
    <oleObject progId="Equation.3" shapeId="1064538" r:id="rId56"/>
  </oleObjects>
</worksheet>
</file>

<file path=xl/worksheets/sheet8.xml><?xml version="1.0" encoding="utf-8"?>
<worksheet xmlns="http://schemas.openxmlformats.org/spreadsheetml/2006/main" xmlns:r="http://schemas.openxmlformats.org/officeDocument/2006/relationships">
  <sheetPr codeName="Tabelle20"/>
  <dimension ref="A1:R42"/>
  <sheetViews>
    <sheetView showGridLines="0" showRowColHeaders="0" zoomScale="90" zoomScaleNormal="90" workbookViewId="0" topLeftCell="A1">
      <selection activeCell="F33" sqref="F33"/>
    </sheetView>
  </sheetViews>
  <sheetFormatPr defaultColWidth="11.421875" defaultRowHeight="15" customHeight="1"/>
  <cols>
    <col min="1" max="1" width="2.7109375" style="148" customWidth="1"/>
    <col min="2" max="2" width="25.7109375" style="148" customWidth="1"/>
    <col min="3" max="3" width="8.7109375" style="148" customWidth="1"/>
    <col min="4" max="5" width="12.7109375" style="148" customWidth="1"/>
    <col min="6" max="6" width="11.7109375" style="148" customWidth="1"/>
    <col min="7" max="15" width="9.7109375" style="148" customWidth="1"/>
    <col min="16" max="16" width="2.7109375" style="148" customWidth="1"/>
    <col min="17" max="17" width="9.7109375" style="148" customWidth="1"/>
    <col min="18" max="21" width="10.7109375" style="148" customWidth="1"/>
    <col min="22" max="16384" width="11.421875" style="148" customWidth="1"/>
  </cols>
  <sheetData>
    <row r="1" spans="1:18" ht="13.5" customHeight="1">
      <c r="A1" s="147"/>
      <c r="B1" s="120" t="str">
        <f>1!B1</f>
        <v>Proje :</v>
      </c>
      <c r="C1" s="6" t="str">
        <f>IF(1!E4&lt;2.5,"",1!C1:H1)</f>
        <v>Takım tezgahı</v>
      </c>
      <c r="D1" s="149"/>
      <c r="E1" s="149"/>
      <c r="F1" s="149"/>
      <c r="G1" s="401" t="str">
        <f>Info!B11</f>
        <v>www.guven-kutay.ch</v>
      </c>
      <c r="H1" s="1"/>
      <c r="I1" s="1"/>
      <c r="J1" s="1"/>
      <c r="L1" s="81"/>
      <c r="M1" s="81"/>
      <c r="N1" s="433" t="str">
        <f>Info!N11</f>
        <v>Copyright : M. G. Kutay , Ver 10.02</v>
      </c>
      <c r="O1" s="122"/>
      <c r="P1" s="122"/>
      <c r="Q1" s="147"/>
      <c r="R1" s="147"/>
    </row>
    <row r="2" spans="1:18" ht="6.75" customHeight="1">
      <c r="A2" s="147"/>
      <c r="B2" s="734"/>
      <c r="C2" s="735"/>
      <c r="D2" s="736"/>
      <c r="E2" s="736"/>
      <c r="F2" s="736"/>
      <c r="G2" s="736"/>
      <c r="H2" s="736"/>
      <c r="I2" s="736"/>
      <c r="J2" s="736"/>
      <c r="K2" s="737"/>
      <c r="L2" s="81"/>
      <c r="M2" s="81"/>
      <c r="N2" s="81"/>
      <c r="O2" s="122"/>
      <c r="P2" s="122"/>
      <c r="Q2" s="147"/>
      <c r="R2" s="147"/>
    </row>
    <row r="3" spans="1:18" ht="13.5" customHeight="1">
      <c r="A3" s="147"/>
      <c r="B3" s="765" t="str">
        <f>0!X37</f>
        <v>6.  3. Kademenin geometrik ölçüleri </v>
      </c>
      <c r="C3" s="735"/>
      <c r="D3" s="736"/>
      <c r="E3" s="736"/>
      <c r="F3" s="736"/>
      <c r="G3" s="736"/>
      <c r="H3" s="736"/>
      <c r="I3" s="736"/>
      <c r="J3" s="736"/>
      <c r="K3" s="737"/>
      <c r="L3" s="81"/>
      <c r="M3" s="81"/>
      <c r="N3" s="81"/>
      <c r="O3" s="122"/>
      <c r="P3" s="122"/>
      <c r="Q3" s="147"/>
      <c r="R3" s="147"/>
    </row>
    <row r="4" spans="1:18" ht="6.75" customHeight="1">
      <c r="A4" s="147"/>
      <c r="B4" s="734"/>
      <c r="C4" s="735"/>
      <c r="D4" s="736"/>
      <c r="E4" s="736"/>
      <c r="F4" s="736"/>
      <c r="G4" s="736"/>
      <c r="H4" s="736"/>
      <c r="I4" s="736"/>
      <c r="J4" s="736"/>
      <c r="K4" s="737"/>
      <c r="L4" s="81"/>
      <c r="M4" s="81"/>
      <c r="N4" s="81"/>
      <c r="O4" s="122"/>
      <c r="P4" s="122"/>
      <c r="Q4" s="147"/>
      <c r="R4" s="147"/>
    </row>
    <row r="5" spans="1:18" ht="13.5" customHeight="1">
      <c r="A5" s="147"/>
      <c r="B5" s="466" t="str">
        <f>IF(1!E4&lt;2.5,"",1!B3)</f>
        <v>1. Temel değerler</v>
      </c>
      <c r="C5" s="462"/>
      <c r="D5" s="463" t="str">
        <f>IF(1!E4&lt;2.5,"",2!D5)</f>
        <v>Pinyon</v>
      </c>
      <c r="E5" s="464" t="str">
        <f>IF(1!E4&lt;2.5,"",2!E5)</f>
        <v>Çark</v>
      </c>
      <c r="F5" s="323"/>
      <c r="H5" s="323"/>
      <c r="I5" s="1"/>
      <c r="J5" s="1"/>
      <c r="K5" s="1"/>
      <c r="L5" s="1"/>
      <c r="M5" s="1"/>
      <c r="N5" s="1"/>
      <c r="O5" s="1"/>
      <c r="P5" s="1"/>
      <c r="Q5" s="1"/>
      <c r="R5" s="1"/>
    </row>
    <row r="6" spans="1:18" ht="13.5" customHeight="1">
      <c r="A6" s="147"/>
      <c r="B6" s="302" t="str">
        <f>IF(1!E4&lt;2.5,"",1!B11)</f>
        <v>Diş sayısı</v>
      </c>
      <c r="C6" s="303" t="s">
        <v>134</v>
      </c>
      <c r="D6" s="38">
        <f>IF(1!E4&lt;2.5,"",1!H11)</f>
        <v>16</v>
      </c>
      <c r="E6" s="39">
        <f>IF(1!E4&lt;2.5,"",1!H12)</f>
        <v>61</v>
      </c>
      <c r="G6" s="1"/>
      <c r="H6" s="1"/>
      <c r="I6" s="1"/>
      <c r="J6" s="1"/>
      <c r="K6" s="1"/>
      <c r="L6" s="1"/>
      <c r="M6" s="1"/>
      <c r="N6" s="1"/>
      <c r="O6" s="1"/>
      <c r="P6" s="1"/>
      <c r="Q6" s="1"/>
      <c r="R6" s="1"/>
    </row>
    <row r="7" spans="1:18" ht="13.5" customHeight="1">
      <c r="A7" s="147"/>
      <c r="B7" s="304" t="str">
        <f>IF(1!E4&lt;2.5,"",1!B13)</f>
        <v>Modül</v>
      </c>
      <c r="C7" s="305" t="s">
        <v>4</v>
      </c>
      <c r="D7" s="42">
        <f>IF(1!E4&lt;2.5,"",1!H13)</f>
        <v>8</v>
      </c>
      <c r="E7" s="43"/>
      <c r="G7" s="1"/>
      <c r="H7" s="1"/>
      <c r="I7" s="1"/>
      <c r="J7" s="1"/>
      <c r="K7" s="1"/>
      <c r="L7" s="1"/>
      <c r="M7" s="1"/>
      <c r="N7" s="1"/>
      <c r="O7" s="1"/>
      <c r="P7" s="1"/>
      <c r="Q7" s="1"/>
      <c r="R7" s="1"/>
    </row>
    <row r="8" spans="1:18" ht="13.5" customHeight="1">
      <c r="A8" s="147"/>
      <c r="B8" s="304" t="str">
        <f>IF(1!E4&lt;2.5,"",1!B14)</f>
        <v>Kavrama açısı</v>
      </c>
      <c r="C8" s="174" t="s">
        <v>62</v>
      </c>
      <c r="D8" s="876">
        <f>IF(1!E4&lt;2.5,"",1!F14)</f>
        <v>20</v>
      </c>
      <c r="E8" s="877"/>
      <c r="G8" s="1"/>
      <c r="H8" s="1"/>
      <c r="I8" s="1"/>
      <c r="J8" s="1"/>
      <c r="K8" s="1"/>
      <c r="L8" s="1"/>
      <c r="M8" s="1"/>
      <c r="N8" s="1"/>
      <c r="O8" s="1"/>
      <c r="P8" s="1"/>
      <c r="Q8" s="1"/>
      <c r="R8" s="1"/>
    </row>
    <row r="9" spans="1:18" ht="13.5" customHeight="1">
      <c r="A9" s="147"/>
      <c r="B9" s="304" t="str">
        <f>IF(1!E4&lt;2.5,"",1!B15)</f>
        <v>Diş genişliği</v>
      </c>
      <c r="C9" s="305" t="s">
        <v>135</v>
      </c>
      <c r="D9" s="45">
        <f>IF(1!E4&lt;2.5,"",1!H15)</f>
        <v>150</v>
      </c>
      <c r="E9" s="46">
        <f>IF(1!E4&lt;2.5,"",1!H16)</f>
        <v>140</v>
      </c>
      <c r="G9" s="1"/>
      <c r="H9" s="1"/>
      <c r="I9" s="1"/>
      <c r="J9" s="1"/>
      <c r="K9" s="1"/>
      <c r="L9" s="1"/>
      <c r="M9" s="1"/>
      <c r="N9" s="1"/>
      <c r="O9" s="1"/>
      <c r="P9" s="1"/>
      <c r="Q9" s="1"/>
      <c r="R9" s="1"/>
    </row>
    <row r="10" spans="1:18" ht="13.5" customHeight="1">
      <c r="A10" s="147"/>
      <c r="B10" s="304" t="str">
        <f>IF(1!E4&lt;2.5,"",1!B17)</f>
        <v>Helis açısı</v>
      </c>
      <c r="C10" s="305" t="s">
        <v>5</v>
      </c>
      <c r="D10" s="47">
        <f>IF(1!E4&lt;2.5,"",1!H17)</f>
        <v>10.0787</v>
      </c>
      <c r="E10" s="48"/>
      <c r="G10" s="1"/>
      <c r="H10" s="1"/>
      <c r="I10" s="1"/>
      <c r="J10" s="1"/>
      <c r="K10" s="1"/>
      <c r="L10" s="1"/>
      <c r="M10" s="1"/>
      <c r="N10" s="1"/>
      <c r="O10" s="1"/>
      <c r="P10" s="1"/>
      <c r="Q10" s="1"/>
      <c r="R10" s="1"/>
    </row>
    <row r="11" spans="1:18" ht="13.5" customHeight="1">
      <c r="A11" s="147"/>
      <c r="B11" s="304" t="str">
        <f>IF(1!E4&lt;2.5,"",1!B18)</f>
        <v>Helis yönü</v>
      </c>
      <c r="C11" s="306" t="s">
        <v>6</v>
      </c>
      <c r="D11" s="50" t="str">
        <f>IF(1!E4&lt;2.5,"",1!H18)</f>
        <v>sağ</v>
      </c>
      <c r="E11" s="51" t="str">
        <f>IF(1!E4&lt;2.5,"",1!H19)</f>
        <v>sol</v>
      </c>
      <c r="G11" s="1"/>
      <c r="H11" s="1"/>
      <c r="I11" s="1"/>
      <c r="J11" s="1"/>
      <c r="K11" s="1"/>
      <c r="L11" s="1"/>
      <c r="M11" s="1"/>
      <c r="N11" s="1"/>
      <c r="O11" s="1"/>
      <c r="P11" s="1"/>
      <c r="Q11" s="1"/>
      <c r="R11" s="1"/>
    </row>
    <row r="12" spans="1:18" ht="13.5" customHeight="1">
      <c r="A12" s="147"/>
      <c r="B12" s="307" t="str">
        <f>IF(1!E4&lt;2.5,"",1!B20)</f>
        <v>Eksenler arası mesafe</v>
      </c>
      <c r="C12" s="305" t="s">
        <v>7</v>
      </c>
      <c r="D12" s="45">
        <f>IF(1!E4&lt;2.5,"",1!H20)</f>
        <v>315</v>
      </c>
      <c r="E12" s="44"/>
      <c r="G12" s="1"/>
      <c r="H12" s="1"/>
      <c r="I12" s="1"/>
      <c r="J12" s="1"/>
      <c r="K12" s="1"/>
      <c r="L12" s="1"/>
      <c r="M12" s="1"/>
      <c r="N12" s="1"/>
      <c r="O12" s="1"/>
      <c r="P12" s="1"/>
      <c r="Q12" s="1"/>
      <c r="R12" s="1"/>
    </row>
    <row r="13" spans="1:18" ht="13.5" customHeight="1">
      <c r="A13" s="147"/>
      <c r="B13" s="308" t="str">
        <f>IF(1!E4&lt;2.5,"",2!B13)</f>
        <v>Eksenler arası toleransı</v>
      </c>
      <c r="C13" s="315" t="s">
        <v>132</v>
      </c>
      <c r="D13" s="53">
        <f>IF(1!E4&lt;2.5,"",9!J21)</f>
        <v>0.016</v>
      </c>
      <c r="E13" s="44"/>
      <c r="G13" s="1"/>
      <c r="H13" s="1"/>
      <c r="I13" s="1"/>
      <c r="J13" s="1"/>
      <c r="K13" s="1"/>
      <c r="L13" s="1"/>
      <c r="M13" s="1"/>
      <c r="N13" s="1"/>
      <c r="O13" s="1"/>
      <c r="P13" s="1"/>
      <c r="Q13" s="1"/>
      <c r="R13" s="1"/>
    </row>
    <row r="14" spans="1:18" ht="13.5" customHeight="1">
      <c r="A14" s="147"/>
      <c r="B14" s="309" t="str">
        <f>IF(1!E4&lt;2.5,"",1!K22)</f>
        <v>Dişli kalitesi</v>
      </c>
      <c r="C14" s="310"/>
      <c r="D14" s="55" t="str">
        <f>IF(1!E4&lt;2.5,"","DIN")</f>
        <v>DIN</v>
      </c>
      <c r="E14" s="56">
        <f>IF(1!E4&lt;2.5,"",1!O22)</f>
        <v>8</v>
      </c>
      <c r="G14" s="1"/>
      <c r="H14" s="1"/>
      <c r="I14" s="1"/>
      <c r="J14" s="1"/>
      <c r="K14" s="1"/>
      <c r="L14" s="1"/>
      <c r="M14" s="1"/>
      <c r="N14" s="1"/>
      <c r="O14" s="1"/>
      <c r="P14" s="1"/>
      <c r="Q14" s="1"/>
      <c r="R14" s="1"/>
    </row>
    <row r="15" spans="1:18" ht="13.5" customHeight="1">
      <c r="A15" s="147"/>
      <c r="B15" s="15" t="str">
        <f>IF(1!E4&lt;2.5,"",1!B22)</f>
        <v>Dişli yanak kalitesi</v>
      </c>
      <c r="C15" s="306" t="s">
        <v>69</v>
      </c>
      <c r="D15" s="57">
        <f>IF(1!E4&lt;2.5,"",1!H22)</f>
        <v>6.3</v>
      </c>
      <c r="E15" s="58">
        <f>IF(1!E4&lt;2.5,"",1!H23)</f>
        <v>6.3</v>
      </c>
      <c r="G15" s="1"/>
      <c r="H15" s="1"/>
      <c r="I15" s="1"/>
      <c r="J15" s="1"/>
      <c r="K15" s="1"/>
      <c r="L15" s="1"/>
      <c r="M15" s="1"/>
      <c r="N15" s="1"/>
      <c r="O15" s="1"/>
      <c r="P15" s="1"/>
      <c r="Q15" s="1"/>
      <c r="R15" s="1"/>
    </row>
    <row r="16" spans="1:18" ht="13.5" customHeight="1">
      <c r="A16" s="147"/>
      <c r="B16" s="311" t="str">
        <f>IF(1!E4&lt;2.5,"",1!B24)</f>
        <v>Yükleme sayısı</v>
      </c>
      <c r="C16" s="312" t="s">
        <v>59</v>
      </c>
      <c r="D16" s="61">
        <f>IF(1!E4&lt;2.5,"",1!F24)</f>
        <v>3000000</v>
      </c>
      <c r="E16" s="62"/>
      <c r="G16" s="1"/>
      <c r="H16" s="1"/>
      <c r="I16" s="1"/>
      <c r="J16" s="1"/>
      <c r="K16" s="1"/>
      <c r="L16" s="1"/>
      <c r="M16" s="1"/>
      <c r="N16" s="1"/>
      <c r="O16" s="1"/>
      <c r="P16" s="1"/>
      <c r="Q16" s="1"/>
      <c r="R16" s="1"/>
    </row>
    <row r="17" spans="1:18" ht="13.5" customHeight="1">
      <c r="A17" s="147"/>
      <c r="B17" s="465" t="str">
        <f>IF(1!E4&lt;2.5,"",2!B17)</f>
        <v>Geometri</v>
      </c>
      <c r="C17" s="5"/>
      <c r="D17" s="1"/>
      <c r="E17" s="1"/>
      <c r="G17" s="1"/>
      <c r="H17" s="1"/>
      <c r="I17" s="1"/>
      <c r="J17" s="1"/>
      <c r="K17" s="1"/>
      <c r="L17" s="1"/>
      <c r="M17" s="1"/>
      <c r="N17" s="1"/>
      <c r="O17" s="1"/>
      <c r="P17" s="1"/>
      <c r="Q17" s="1"/>
      <c r="R17" s="1"/>
    </row>
    <row r="18" spans="1:18" ht="13.5" customHeight="1">
      <c r="A18" s="147"/>
      <c r="B18" s="318" t="str">
        <f>IF(1!$E$4&lt;1.5,"",2!B18)</f>
        <v>Alın modülü</v>
      </c>
      <c r="C18" s="313" t="s">
        <v>136</v>
      </c>
      <c r="D18" s="325">
        <f>IF(1!E4&lt;2.5,"",D7/COS(PI()*D10/180))</f>
        <v>8.125388513865301</v>
      </c>
      <c r="E18" s="63"/>
      <c r="F18" s="248"/>
      <c r="G18" s="1"/>
      <c r="H18" s="1"/>
      <c r="I18" s="1"/>
      <c r="J18" s="1"/>
      <c r="K18" s="1"/>
      <c r="L18" s="1"/>
      <c r="M18" s="1"/>
      <c r="N18" s="1"/>
      <c r="O18" s="1"/>
      <c r="P18" s="1"/>
      <c r="Q18" s="1"/>
      <c r="R18" s="1"/>
    </row>
    <row r="19" spans="1:18" ht="13.5" customHeight="1">
      <c r="A19" s="147"/>
      <c r="B19" s="319" t="str">
        <f>IF(1!$E$4&lt;1.5,"",2!B19)</f>
        <v>Alın kavrama açısı</v>
      </c>
      <c r="C19" s="274" t="s">
        <v>129</v>
      </c>
      <c r="D19" s="64">
        <f>IF(1!E4&lt;2.5,"",ATAN(TAN(PI()*D8/180)/COS(PI()*D10/180))*180/PI())</f>
        <v>20.288090348960676</v>
      </c>
      <c r="E19" s="65"/>
      <c r="F19" s="248"/>
      <c r="G19" s="1"/>
      <c r="H19" s="1"/>
      <c r="I19" s="1"/>
      <c r="J19" s="1"/>
      <c r="K19" s="1"/>
      <c r="L19" s="1"/>
      <c r="M19" s="1"/>
      <c r="N19" s="1"/>
      <c r="O19" s="1"/>
      <c r="P19" s="1"/>
      <c r="Q19" s="1"/>
      <c r="R19" s="1"/>
    </row>
    <row r="20" spans="1:18" ht="13.5" customHeight="1">
      <c r="A20" s="147"/>
      <c r="B20" s="319" t="str">
        <f>IF(1!$E$4&lt;1.5,"",2!B20)</f>
        <v>Kaydırmasız eksenler arası</v>
      </c>
      <c r="C20" s="275" t="s">
        <v>137</v>
      </c>
      <c r="D20" s="71">
        <f>IF(1!E4&lt;2.5,"",D18*(D6+E6)/2)</f>
        <v>312.8274577838141</v>
      </c>
      <c r="E20" s="65"/>
      <c r="F20" s="248"/>
      <c r="G20" s="1"/>
      <c r="H20" s="1"/>
      <c r="I20" s="1"/>
      <c r="J20" s="1"/>
      <c r="K20" s="1"/>
      <c r="L20" s="1"/>
      <c r="M20" s="1"/>
      <c r="N20" s="1"/>
      <c r="O20" s="1"/>
      <c r="P20" s="1"/>
      <c r="Q20" s="1"/>
      <c r="R20" s="1"/>
    </row>
    <row r="21" spans="1:18" ht="13.5" customHeight="1">
      <c r="A21" s="147"/>
      <c r="B21" s="319" t="str">
        <f>IF(1!$E$4&lt;1.5,"",2!B21)</f>
        <v>İşletmede kavrama açısı</v>
      </c>
      <c r="C21" s="274" t="s">
        <v>127</v>
      </c>
      <c r="D21" s="64">
        <f>IF(1!E4&lt;2.5,"",ACOS(D20*COS(PI()*D19/180)/D12)*180/PI())</f>
        <v>21.33141003814181</v>
      </c>
      <c r="E21" s="65"/>
      <c r="F21" s="248"/>
      <c r="G21" s="1"/>
      <c r="H21" s="1"/>
      <c r="I21" s="1"/>
      <c r="J21" s="1"/>
      <c r="K21" s="1"/>
      <c r="L21" s="1"/>
      <c r="M21" s="1"/>
      <c r="N21" s="1"/>
      <c r="O21" s="1"/>
      <c r="P21" s="1"/>
      <c r="Q21" s="1"/>
      <c r="R21" s="1"/>
    </row>
    <row r="22" spans="1:18" ht="13.5" customHeight="1">
      <c r="A22" s="147"/>
      <c r="B22" s="319" t="str">
        <f>IF(1!$E$4&lt;1.5,"",2!B22)</f>
        <v>Evolvent fonksiyonu</v>
      </c>
      <c r="C22" s="314" t="s">
        <v>126</v>
      </c>
      <c r="D22" s="67">
        <f>IF(1!E4&lt;2.5,"",TAN(PI()*D19/180)-D19*PI()/180)</f>
        <v>0.015580969580483772</v>
      </c>
      <c r="E22" s="68"/>
      <c r="F22" s="248"/>
      <c r="G22" s="1"/>
      <c r="H22" s="1"/>
      <c r="I22" s="1"/>
      <c r="J22" s="1"/>
      <c r="K22" s="1"/>
      <c r="L22" s="1"/>
      <c r="M22" s="1"/>
      <c r="N22" s="1"/>
      <c r="O22" s="1"/>
      <c r="P22" s="1"/>
      <c r="Q22" s="1"/>
      <c r="R22" s="1"/>
    </row>
    <row r="23" spans="1:18" ht="13.5" customHeight="1">
      <c r="A23" s="147"/>
      <c r="B23" s="319" t="str">
        <f>IF(1!$E$4&lt;1.5,"",2!B23)</f>
        <v>Evolvent fonksiyonu</v>
      </c>
      <c r="C23" s="275" t="s">
        <v>125</v>
      </c>
      <c r="D23" s="67">
        <f>IF(1!E4&lt;2.5,"",TAN(PI()*D21/180)-D21*PI()/180)</f>
        <v>0.01821204515495317</v>
      </c>
      <c r="E23" s="68"/>
      <c r="F23" s="248"/>
      <c r="G23" s="1"/>
      <c r="H23" s="1"/>
      <c r="I23" s="1"/>
      <c r="J23" s="1"/>
      <c r="K23" s="1"/>
      <c r="L23" s="1"/>
      <c r="M23" s="1"/>
      <c r="N23" s="1"/>
      <c r="O23" s="1"/>
      <c r="P23" s="1"/>
      <c r="Q23" s="1"/>
      <c r="R23" s="1"/>
    </row>
    <row r="24" spans="1:18" ht="13.5" customHeight="1">
      <c r="A24" s="147"/>
      <c r="B24" s="319" t="str">
        <f>IF(1!$E$4&lt;1.5,"",2!B24)</f>
        <v>Toplam profil kaydırması</v>
      </c>
      <c r="C24" s="314" t="s">
        <v>138</v>
      </c>
      <c r="D24" s="67">
        <f>IF(1!E4&lt;2.5,"",(D6+E6)*(D23-D22)/(2*TAN(PI()*D8/180)))</f>
        <v>0.278309598094731</v>
      </c>
      <c r="E24" s="68"/>
      <c r="F24" s="248"/>
      <c r="G24" s="1"/>
      <c r="H24" s="1"/>
      <c r="I24" s="1"/>
      <c r="J24" s="1"/>
      <c r="K24" s="1"/>
      <c r="L24" s="1"/>
      <c r="M24" s="1"/>
      <c r="N24" s="1"/>
      <c r="O24" s="1"/>
      <c r="P24" s="1"/>
      <c r="Q24" s="1"/>
      <c r="R24" s="1"/>
    </row>
    <row r="25" spans="1:18" ht="13.5" customHeight="1">
      <c r="A25" s="147"/>
      <c r="B25" s="319" t="str">
        <f>IF(1!$E$4&lt;1.5,"",2!B25)</f>
        <v>Dış çap düzeltmesi</v>
      </c>
      <c r="C25" s="275" t="s">
        <v>123</v>
      </c>
      <c r="D25" s="66">
        <f>IF(1!E4&lt;2.5,"",D20+D24*D7-D12)</f>
        <v>0.053934568571946784</v>
      </c>
      <c r="E25" s="68"/>
      <c r="F25" s="248"/>
      <c r="G25" s="1"/>
      <c r="H25" s="1"/>
      <c r="I25" s="1"/>
      <c r="J25" s="1"/>
      <c r="K25" s="1"/>
      <c r="L25" s="1"/>
      <c r="M25" s="1"/>
      <c r="N25" s="1"/>
      <c r="O25" s="1"/>
      <c r="P25" s="1"/>
      <c r="Q25" s="1"/>
      <c r="R25" s="1"/>
    </row>
    <row r="26" spans="1:18" ht="13.5" customHeight="1">
      <c r="A26" s="147"/>
      <c r="B26" s="319" t="str">
        <f>IF(1!$E$4&lt;1.5,"",2!B26)</f>
        <v>Temel helis açısı</v>
      </c>
      <c r="C26" s="274" t="s">
        <v>139</v>
      </c>
      <c r="D26" s="64">
        <f>IF(1!E4&lt;2.5,"",180*ASIN(SIN(PI()*D10/180)*COS(PI()*D8/180))/PI())</f>
        <v>9.465104415418558</v>
      </c>
      <c r="E26" s="68"/>
      <c r="F26" s="248"/>
      <c r="G26" s="1"/>
      <c r="H26" s="1"/>
      <c r="I26" s="1"/>
      <c r="J26" s="1"/>
      <c r="K26" s="1"/>
      <c r="L26" s="1"/>
      <c r="M26" s="1"/>
      <c r="N26" s="1"/>
      <c r="O26" s="1"/>
      <c r="P26" s="1"/>
      <c r="Q26" s="1"/>
      <c r="R26" s="1"/>
    </row>
    <row r="27" spans="1:18" ht="13.5" customHeight="1">
      <c r="A27" s="147"/>
      <c r="B27" s="319" t="str">
        <f>IF(1!$E$4&lt;1.5,"",2!B27)</f>
        <v>Eşdeğer diş sayısı</v>
      </c>
      <c r="C27" s="314" t="s">
        <v>140</v>
      </c>
      <c r="D27" s="69">
        <f>IF(1!E4&lt;2.5,"",D6/(COS(PI()*D26/180))^2/COS(PI()*D10/180))</f>
        <v>16.702457888778575</v>
      </c>
      <c r="E27" s="70">
        <f>IF(1!E4&lt;2.5,"",E6/(COS(PI()*D26/180))^2/COS(PI()*D10/180))</f>
        <v>63.67812070096832</v>
      </c>
      <c r="F27" s="248"/>
      <c r="G27" s="1"/>
      <c r="H27" s="1"/>
      <c r="I27" s="1"/>
      <c r="J27" s="1"/>
      <c r="K27" s="1"/>
      <c r="L27" s="1"/>
      <c r="M27" s="1"/>
      <c r="N27" s="1"/>
      <c r="O27" s="1"/>
      <c r="P27" s="1"/>
      <c r="Q27" s="1"/>
      <c r="R27" s="1"/>
    </row>
    <row r="28" spans="1:18" ht="13.5" customHeight="1">
      <c r="A28" s="147"/>
      <c r="B28" s="319" t="str">
        <f>IF(1!$E$4&lt;1.5,"",2!B28)</f>
        <v>Profil kaydırması, teklif</v>
      </c>
      <c r="C28" s="315"/>
      <c r="D28" s="69">
        <f>IF(1!E4&lt;2.5,"",IF(($D$24/2+(0.5-$D$24/2)*LOG10($E$6/$D$6)/(LOG10($D$27*$E$27/100)))*10-INT(($D$24/2+(0.5-$D$24/2)*LOG10($E$6/$D$6)/(LOG10($D$27*$E$27/100)))*10)&gt;0.5,FLOOR(($D$24/2+(0.5-$D$24/2)*LOG10($E$6/$D$6)/(LOG10($D$27*$E$27/100))),0.05),ROUNDDOWN(($D$24/2+(0.5-$D$24/2)*LOG10($E$6/$D$6)/(LOG10($D$27*$E$27/100))),1)))</f>
        <v>0.3</v>
      </c>
      <c r="E28" s="70">
        <f>IF(1!E4&lt;2.5,"",D24-D28)</f>
        <v>-0.021690401905268997</v>
      </c>
      <c r="F28" s="248"/>
      <c r="G28" s="1"/>
      <c r="H28" s="1"/>
      <c r="I28" s="1"/>
      <c r="J28" s="1"/>
      <c r="K28" s="1"/>
      <c r="L28" s="1"/>
      <c r="M28" s="1"/>
      <c r="N28" s="1"/>
      <c r="O28" s="1"/>
      <c r="P28" s="1"/>
      <c r="Q28" s="1"/>
      <c r="R28" s="1"/>
    </row>
    <row r="29" spans="1:18" ht="13.5" customHeight="1">
      <c r="A29" s="147"/>
      <c r="B29" s="319" t="str">
        <f>IF(1!$E$4&lt;1.5,"",2!B29)</f>
        <v>Seçilen profil kaydırması</v>
      </c>
      <c r="C29" s="314" t="s">
        <v>141</v>
      </c>
      <c r="D29" s="121">
        <v>0.25</v>
      </c>
      <c r="E29" s="151">
        <f>IF(1!E4&lt;2.5,"",D24-D29)</f>
        <v>0.028309598094730992</v>
      </c>
      <c r="F29" s="248"/>
      <c r="G29" s="1"/>
      <c r="H29" s="1"/>
      <c r="I29" s="1"/>
      <c r="J29" s="1"/>
      <c r="K29" s="1"/>
      <c r="L29" s="1"/>
      <c r="M29" s="1"/>
      <c r="N29" s="1"/>
      <c r="O29" s="1"/>
      <c r="P29" s="1"/>
      <c r="Q29" s="1"/>
      <c r="R29" s="1"/>
    </row>
    <row r="30" spans="1:18" ht="13.5" customHeight="1">
      <c r="A30" s="147"/>
      <c r="B30" s="319" t="str">
        <f>IF(1!$E$4&lt;1.5,"",2!B30)</f>
        <v>Taksimat dairesi</v>
      </c>
      <c r="C30" s="275" t="s">
        <v>142</v>
      </c>
      <c r="D30" s="71">
        <f>IF(1!E4&lt;2.5,"",D6*D18)</f>
        <v>130.00621622184482</v>
      </c>
      <c r="E30" s="72">
        <f>IF(1!E4&lt;2.5,"",E6*D18)</f>
        <v>495.64869934578337</v>
      </c>
      <c r="F30" s="248"/>
      <c r="G30" s="1"/>
      <c r="H30" s="1"/>
      <c r="I30" s="1"/>
      <c r="J30" s="1"/>
      <c r="K30" s="1"/>
      <c r="L30" s="1"/>
      <c r="M30" s="1"/>
      <c r="N30" s="1"/>
      <c r="O30" s="1"/>
      <c r="P30" s="1"/>
      <c r="Q30" s="1"/>
      <c r="R30" s="1"/>
    </row>
    <row r="31" spans="1:18" ht="13.5" customHeight="1">
      <c r="A31" s="147"/>
      <c r="B31" s="319" t="str">
        <f>IF(1!$E$4&lt;1.5,"",2!B31)</f>
        <v>Diş üstü çapı</v>
      </c>
      <c r="C31" s="275" t="s">
        <v>143</v>
      </c>
      <c r="D31" s="71">
        <f>IF(1!E4&lt;2.5,"",IF(D29&gt;0,D30+2*D7*(1+D29)-2*D25,D30+2*D7*(1+D29)+2*D25))</f>
        <v>149.89834708470093</v>
      </c>
      <c r="E31" s="72">
        <f>IF(1!E4&lt;2.5,"",IF(E29&gt;0,E30+2*D7*(1+E29)-2*D25,E30+2*D7*(1+E29)+2*D25))</f>
        <v>511.99378377815515</v>
      </c>
      <c r="F31" s="1"/>
      <c r="G31" s="1"/>
      <c r="H31" s="1"/>
      <c r="I31" s="1"/>
      <c r="J31" s="1"/>
      <c r="K31" s="1"/>
      <c r="L31" s="1"/>
      <c r="M31" s="1"/>
      <c r="N31" s="1"/>
      <c r="O31" s="1"/>
      <c r="P31" s="1"/>
      <c r="Q31" s="1"/>
      <c r="R31" s="1"/>
    </row>
    <row r="32" spans="1:18" ht="13.5" customHeight="1">
      <c r="A32" s="147"/>
      <c r="B32" s="319" t="str">
        <f>IF(1!$E$4&lt;1.5,"",2!B32)</f>
        <v>Ölçülecek diş sayısı</v>
      </c>
      <c r="C32" s="314" t="s">
        <v>144</v>
      </c>
      <c r="D32" s="73">
        <f>IF(1!E4&lt;2.5,"",ROUND(D27*D8/180+1,0))</f>
        <v>3</v>
      </c>
      <c r="E32" s="74">
        <f>IF(1!E4&lt;2.5,"",ROUND(E27*D8/180+1,0))</f>
        <v>8</v>
      </c>
      <c r="F32" s="248"/>
      <c r="G32" s="1"/>
      <c r="H32" s="1"/>
      <c r="I32" s="1"/>
      <c r="J32" s="1"/>
      <c r="K32" s="1"/>
      <c r="L32" s="1"/>
      <c r="M32" s="1"/>
      <c r="N32" s="1"/>
      <c r="O32" s="1"/>
      <c r="P32" s="1"/>
      <c r="Q32" s="1"/>
      <c r="R32" s="1"/>
    </row>
    <row r="33" spans="1:18" ht="13.5" customHeight="1">
      <c r="A33" s="147"/>
      <c r="B33" s="304" t="str">
        <f>IF(1!$E$4&lt;1.5,"",2!B33)</f>
        <v>Kontrol ölçü değeri</v>
      </c>
      <c r="C33" s="305" t="s">
        <v>145</v>
      </c>
      <c r="D33" s="71">
        <f>IF(1!E4&lt;2.5,"",D7*COS(PI()*D8/180)*((D32-0.5)*PI()+D6*D22)+2*D29*D7*SIN(PI()*D8/180))</f>
        <v>62.28479848902585</v>
      </c>
      <c r="E33" s="72">
        <f>IF(1!E4&lt;2.5,"",D7*COS(PI()*D8/180)*((E32-0.5)*PI()+E6*D22)+2*E29*D7*SIN(PI()*D8/180))</f>
        <v>184.4277704944401</v>
      </c>
      <c r="F33" s="248"/>
      <c r="G33" s="1"/>
      <c r="H33" s="1"/>
      <c r="I33" s="1"/>
      <c r="J33" s="1"/>
      <c r="K33" s="1"/>
      <c r="L33" s="1"/>
      <c r="M33" s="1"/>
      <c r="N33" s="1"/>
      <c r="O33" s="1"/>
      <c r="P33" s="1"/>
      <c r="Q33" s="1"/>
      <c r="R33" s="1"/>
    </row>
    <row r="34" spans="1:18" ht="13.5" customHeight="1">
      <c r="A34" s="147"/>
      <c r="B34" s="316" t="str">
        <f>IF(1!$E$4&lt;1.5,"",2!B34)</f>
        <v>Toleransları</v>
      </c>
      <c r="C34" s="314" t="s">
        <v>111</v>
      </c>
      <c r="D34" s="75">
        <f>IF(1!E4&lt;2.5,"",9!J25)</f>
        <v>-0.02443200814043362</v>
      </c>
      <c r="E34" s="76">
        <f>IF(1!E4&lt;2.5,"",9!K25)</f>
        <v>-0.03288924172750679</v>
      </c>
      <c r="F34" s="248"/>
      <c r="G34" s="1"/>
      <c r="H34" s="1"/>
      <c r="I34" s="1"/>
      <c r="J34" s="1"/>
      <c r="K34" s="1"/>
      <c r="L34" s="1"/>
      <c r="M34" s="1"/>
      <c r="N34" s="1"/>
      <c r="O34" s="1"/>
      <c r="P34" s="1"/>
      <c r="Q34" s="1"/>
      <c r="R34" s="1"/>
    </row>
    <row r="35" spans="1:18" ht="13.5" customHeight="1">
      <c r="A35" s="147"/>
      <c r="B35" s="320"/>
      <c r="C35" s="314" t="s">
        <v>112</v>
      </c>
      <c r="D35" s="75">
        <f>IF(1!E4&lt;2.5,"",9!J26)</f>
        <v>-0.052622786764010866</v>
      </c>
      <c r="E35" s="76">
        <f>IF(1!E4&lt;2.5,"",9!K26)</f>
        <v>-0.07047694655894313</v>
      </c>
      <c r="F35" s="248"/>
      <c r="G35" s="1"/>
      <c r="H35" s="1"/>
      <c r="I35" s="1"/>
      <c r="J35" s="1"/>
      <c r="K35" s="1"/>
      <c r="L35" s="1"/>
      <c r="M35" s="1"/>
      <c r="N35" s="1"/>
      <c r="O35" s="1"/>
      <c r="P35" s="1"/>
      <c r="Q35" s="1"/>
      <c r="R35" s="1"/>
    </row>
    <row r="36" spans="1:18" ht="13.5" customHeight="1">
      <c r="A36" s="147"/>
      <c r="B36" s="319" t="str">
        <f>IF(1!$E$4&lt;1.5,"",2!B36)</f>
        <v>Üst ölçü değeri</v>
      </c>
      <c r="C36" s="314" t="s">
        <v>113</v>
      </c>
      <c r="D36" s="71">
        <f>IF(1!E4&lt;2.5,"",D33+D34)</f>
        <v>62.260366480885416</v>
      </c>
      <c r="E36" s="72">
        <f>IF(1!E4&lt;2.5,"",E33+E34)</f>
        <v>184.3948812527126</v>
      </c>
      <c r="F36" s="248"/>
      <c r="G36" s="1"/>
      <c r="H36" s="1"/>
      <c r="I36" s="1"/>
      <c r="J36" s="1"/>
      <c r="K36" s="1"/>
      <c r="L36" s="1"/>
      <c r="M36" s="1"/>
      <c r="N36" s="1"/>
      <c r="O36" s="1"/>
      <c r="P36" s="1"/>
      <c r="Q36" s="1"/>
      <c r="R36" s="1"/>
    </row>
    <row r="37" spans="1:18" ht="13.5" customHeight="1">
      <c r="A37" s="147"/>
      <c r="B37" s="319" t="str">
        <f>IF(1!$E$4&lt;1.5,"",2!B37)</f>
        <v>Alt ölçü değeri</v>
      </c>
      <c r="C37" s="314" t="s">
        <v>114</v>
      </c>
      <c r="D37" s="71">
        <f>IF(1!E4&lt;2.5,"",D33+D35)</f>
        <v>62.23217570226184</v>
      </c>
      <c r="E37" s="72">
        <f>IF(1!E4&lt;2.5,"",E33+E35)</f>
        <v>184.35729354788114</v>
      </c>
      <c r="F37" s="248"/>
      <c r="G37" s="1"/>
      <c r="H37" s="1"/>
      <c r="I37" s="1"/>
      <c r="J37" s="1"/>
      <c r="K37" s="1"/>
      <c r="L37" s="1"/>
      <c r="M37" s="1"/>
      <c r="N37" s="1"/>
      <c r="O37" s="1"/>
      <c r="P37" s="1"/>
      <c r="Q37" s="1"/>
      <c r="R37" s="1"/>
    </row>
    <row r="38" spans="1:18" ht="13.5" customHeight="1">
      <c r="A38" s="147"/>
      <c r="B38" s="319" t="str">
        <f>IF(1!$E$4&lt;1.5,"",2!B38)</f>
        <v>Temel daire çapı</v>
      </c>
      <c r="C38" s="275" t="s">
        <v>146</v>
      </c>
      <c r="D38" s="71">
        <f>IF(1!E4&lt;2.5,"",D30*COS(PI()*D19/180))</f>
        <v>121.94076438341749</v>
      </c>
      <c r="E38" s="72">
        <f>IF(1!E4&lt;2.5,"",E30*COS(PI()*D19/180))</f>
        <v>464.8991642117792</v>
      </c>
      <c r="F38" s="248"/>
      <c r="G38" s="1"/>
      <c r="H38" s="1"/>
      <c r="I38" s="1"/>
      <c r="J38" s="1"/>
      <c r="K38" s="1"/>
      <c r="L38" s="1"/>
      <c r="M38" s="1"/>
      <c r="N38" s="1"/>
      <c r="O38" s="1"/>
      <c r="P38" s="1"/>
      <c r="Q38" s="1"/>
      <c r="R38" s="1"/>
    </row>
    <row r="39" spans="1:18" ht="13.5" customHeight="1">
      <c r="A39" s="147"/>
      <c r="B39" s="304" t="str">
        <f>IF(1!$E$4&lt;1.5,"",2!B39)</f>
        <v>Profil kavrama oranı</v>
      </c>
      <c r="C39" s="271" t="s">
        <v>110</v>
      </c>
      <c r="D39" s="69">
        <f>IF(1!E4&lt;2.5,"",((0.5*((D31^2-D38^2)^(0.5)+(E31^2-E38^2)^(0.5))-D12*SIN(PI()*D21/180))/(PI()*D18*COS(PI()*D19/180))))</f>
        <v>1.5139862271636553</v>
      </c>
      <c r="E39" s="68"/>
      <c r="G39" s="359" t="str">
        <f>0!C50</f>
        <v>Düşünceler :</v>
      </c>
      <c r="H39" s="738"/>
      <c r="I39" s="738"/>
      <c r="J39" s="738"/>
      <c r="K39" s="738"/>
      <c r="L39" s="738"/>
      <c r="M39" s="738"/>
      <c r="N39" s="738"/>
      <c r="O39" s="738"/>
      <c r="P39" s="1"/>
      <c r="Q39" s="1"/>
      <c r="R39" s="1"/>
    </row>
    <row r="40" spans="1:18" ht="13.5" customHeight="1">
      <c r="A40" s="147"/>
      <c r="B40" s="320"/>
      <c r="C40" s="271" t="s">
        <v>555</v>
      </c>
      <c r="D40" s="69">
        <f>IF(1!E4&lt;2.5,"",D39/(COS(D26*PI()/180))^2)</f>
        <v>1.5560665905538575</v>
      </c>
      <c r="E40" s="68"/>
      <c r="F40" s="359"/>
      <c r="H40" s="738"/>
      <c r="I40" s="738"/>
      <c r="J40" s="738"/>
      <c r="K40" s="738"/>
      <c r="L40" s="738"/>
      <c r="M40" s="738"/>
      <c r="N40" s="738"/>
      <c r="O40" s="738"/>
      <c r="P40" s="1"/>
      <c r="Q40" s="1"/>
      <c r="R40" s="1"/>
    </row>
    <row r="41" spans="1:18" ht="13.5" customHeight="1">
      <c r="A41" s="147"/>
      <c r="B41" s="321" t="str">
        <f>IF(1!$E$4&lt;1.5,"",2!B41)</f>
        <v>Helis kavrama oranı</v>
      </c>
      <c r="C41" s="272" t="s">
        <v>116</v>
      </c>
      <c r="D41" s="79">
        <f>IF(1!E4&lt;2.5,"",E9*SIN(PI()*D10/180)/PI()/D7)</f>
        <v>0.9748280364410579</v>
      </c>
      <c r="E41" s="80"/>
      <c r="F41" s="248"/>
      <c r="H41" s="738"/>
      <c r="I41" s="738"/>
      <c r="J41" s="738"/>
      <c r="K41" s="738"/>
      <c r="L41" s="738"/>
      <c r="M41" s="738"/>
      <c r="N41" s="738"/>
      <c r="O41" s="738"/>
      <c r="P41" s="1"/>
      <c r="Q41" s="1"/>
      <c r="R41" s="1"/>
    </row>
    <row r="42" spans="1:18" ht="13.5" customHeight="1">
      <c r="A42" s="147"/>
      <c r="B42" s="1"/>
      <c r="C42" s="1"/>
      <c r="D42" s="1"/>
      <c r="E42" s="1"/>
      <c r="F42" s="1"/>
      <c r="G42" s="1"/>
      <c r="H42" s="1"/>
      <c r="I42" s="1"/>
      <c r="J42" s="1"/>
      <c r="K42" s="1"/>
      <c r="L42" s="1"/>
      <c r="M42" s="1"/>
      <c r="N42" s="1"/>
      <c r="O42" s="1"/>
      <c r="P42" s="1"/>
      <c r="Q42" s="1"/>
      <c r="R42" s="1"/>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password="EF77" sheet="1" objects="1" scenarios="1"/>
  <mergeCells count="1">
    <mergeCell ref="D8:E8"/>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3"/>
  <headerFooter alignWithMargins="0">
    <oddFooter>&amp;L&amp;F / &amp;A / &amp;D&amp;RSeite &amp;P von &amp;N</oddFooter>
  </headerFooter>
  <legacyDrawing r:id="rId2"/>
  <oleObjects>
    <oleObject progId="AutoCAD.Drawing.15" shapeId="2360608" r:id="rId1"/>
  </oleObjects>
</worksheet>
</file>

<file path=xl/worksheets/sheet9.xml><?xml version="1.0" encoding="utf-8"?>
<worksheet xmlns="http://schemas.openxmlformats.org/spreadsheetml/2006/main" xmlns:r="http://schemas.openxmlformats.org/officeDocument/2006/relationships">
  <sheetPr codeName="Tabelle13"/>
  <dimension ref="A2:AF383"/>
  <sheetViews>
    <sheetView showGridLines="0" showRowColHeaders="0" zoomScale="95" zoomScaleNormal="95" workbookViewId="0" topLeftCell="A1">
      <selection activeCell="F37" sqref="F37"/>
    </sheetView>
  </sheetViews>
  <sheetFormatPr defaultColWidth="11.421875" defaultRowHeight="15" customHeight="1"/>
  <cols>
    <col min="1" max="1" width="1.7109375" style="148" customWidth="1"/>
    <col min="2" max="2" width="30.7109375" style="148" customWidth="1"/>
    <col min="3" max="4" width="7.00390625" style="148" customWidth="1"/>
    <col min="5" max="6" width="8.7109375" style="148" customWidth="1"/>
    <col min="7" max="7" width="2.7109375" style="148" customWidth="1"/>
    <col min="8" max="8" width="25.7109375" style="148" customWidth="1"/>
    <col min="9" max="10" width="7.00390625" style="148" customWidth="1"/>
    <col min="11" max="12" width="8.7109375" style="148" customWidth="1"/>
    <col min="13" max="14" width="12.7109375" style="148" customWidth="1"/>
    <col min="15" max="15" width="2.7109375" style="148" customWidth="1"/>
    <col min="16" max="16" width="2.7109375" style="148" hidden="1" customWidth="1"/>
    <col min="17" max="18" width="2.7109375" style="467" hidden="1" customWidth="1"/>
    <col min="19" max="19" width="6.7109375" style="468" hidden="1" customWidth="1"/>
    <col min="20" max="20" width="11.421875" style="468" hidden="1" customWidth="1"/>
    <col min="21" max="26" width="11.421875" style="467" hidden="1" customWidth="1"/>
    <col min="27" max="28" width="11.421875" style="468" hidden="1" customWidth="1"/>
    <col min="29" max="29" width="16.00390625" style="467" hidden="1" customWidth="1"/>
    <col min="30" max="30" width="16.7109375" style="467" hidden="1" customWidth="1"/>
    <col min="31" max="31" width="11.421875" style="467" hidden="1" customWidth="1"/>
    <col min="32" max="32" width="11.421875" style="148" hidden="1" customWidth="1"/>
    <col min="33" max="35" width="2.7109375" style="148" customWidth="1"/>
    <col min="36" max="16384" width="11.421875" style="148" customWidth="1"/>
  </cols>
  <sheetData>
    <row r="1" ht="7.5" customHeight="1"/>
    <row r="2" spans="1:16" ht="15" customHeight="1">
      <c r="A2" s="147"/>
      <c r="B2" s="120" t="str">
        <f>0!C104</f>
        <v>Proje :</v>
      </c>
      <c r="C2" s="6" t="str">
        <f>1!C1</f>
        <v>Takım tezgahı</v>
      </c>
      <c r="D2" s="149"/>
      <c r="E2" s="149"/>
      <c r="F2" s="149"/>
      <c r="G2" s="149"/>
      <c r="H2" s="149"/>
      <c r="I2" s="1"/>
      <c r="J2" s="1"/>
      <c r="K2" s="469" t="str">
        <f>Info!B11</f>
        <v>www.guven-kutay.ch</v>
      </c>
      <c r="M2" s="81"/>
      <c r="N2" s="120" t="str">
        <f>Info!N11</f>
        <v>Copyright : M. G. Kutay , Ver 10.02</v>
      </c>
      <c r="O2" s="147"/>
      <c r="P2" s="147"/>
    </row>
    <row r="3" spans="1:16" ht="7.5" customHeight="1">
      <c r="A3" s="147"/>
      <c r="B3" s="470"/>
      <c r="C3" s="354"/>
      <c r="D3" s="354"/>
      <c r="E3" s="354"/>
      <c r="F3" s="354"/>
      <c r="G3" s="354"/>
      <c r="H3" s="354"/>
      <c r="I3" s="354"/>
      <c r="J3" s="354"/>
      <c r="M3" s="81"/>
      <c r="N3" s="81"/>
      <c r="O3" s="147"/>
      <c r="P3" s="147"/>
    </row>
    <row r="4" spans="1:16" ht="15" customHeight="1">
      <c r="A4" s="147"/>
      <c r="B4" s="322" t="str">
        <f>0!AF37</f>
        <v>7.   3. Kademeninde mukavemet hesapları  </v>
      </c>
      <c r="C4" s="354"/>
      <c r="D4" s="354"/>
      <c r="E4" s="726"/>
      <c r="F4" s="354"/>
      <c r="G4" s="354"/>
      <c r="H4" s="354"/>
      <c r="I4" s="354"/>
      <c r="J4" s="354"/>
      <c r="M4" s="81"/>
      <c r="N4" s="81"/>
      <c r="O4" s="147"/>
      <c r="P4" s="147"/>
    </row>
    <row r="5" spans="1:16" ht="7.5" customHeight="1">
      <c r="A5" s="147"/>
      <c r="C5" s="354"/>
      <c r="D5" s="354"/>
      <c r="E5" s="354"/>
      <c r="F5" s="354"/>
      <c r="G5" s="354"/>
      <c r="H5" s="354"/>
      <c r="I5" s="354"/>
      <c r="J5" s="354"/>
      <c r="M5" s="81"/>
      <c r="N5" s="81"/>
      <c r="O5" s="147"/>
      <c r="P5" s="147"/>
    </row>
    <row r="6" spans="1:12" ht="15" customHeight="1">
      <c r="A6" s="147"/>
      <c r="B6" s="176" t="str">
        <f>0!C39</f>
        <v>A) Diş dibi kırılma mukavemet hesabı</v>
      </c>
      <c r="C6" s="399"/>
      <c r="D6" s="399"/>
      <c r="E6" s="97" t="str">
        <f>0!C109</f>
        <v>Pinyon</v>
      </c>
      <c r="F6" s="97" t="str">
        <f>0!C105</f>
        <v>Çark</v>
      </c>
      <c r="H6" s="466" t="str">
        <f>0!C47</f>
        <v>B) Diş yanağı form mukavemet hesabı</v>
      </c>
      <c r="I6" s="5"/>
      <c r="J6" s="5"/>
      <c r="K6" s="97"/>
      <c r="L6" s="5"/>
    </row>
    <row r="7" spans="1:14" ht="15" customHeight="1">
      <c r="A7" s="147"/>
      <c r="B7" s="155" t="str">
        <f>0!C121</f>
        <v>Teğet Kuvvet</v>
      </c>
      <c r="C7" s="249" t="s">
        <v>53</v>
      </c>
      <c r="D7" s="157" t="s">
        <v>43</v>
      </c>
      <c r="E7" s="165">
        <f>2*1!H8/6!D30</f>
        <v>30399.928932956413</v>
      </c>
      <c r="F7" s="158">
        <f>E7</f>
        <v>30399.928932956413</v>
      </c>
      <c r="G7" s="1"/>
      <c r="H7" s="155" t="str">
        <f>0!C122</f>
        <v>Taksimat dairesi</v>
      </c>
      <c r="I7" s="471" t="s">
        <v>24</v>
      </c>
      <c r="J7" s="157" t="s">
        <v>57</v>
      </c>
      <c r="K7" s="163">
        <f>6!D30</f>
        <v>130.00621622184482</v>
      </c>
      <c r="L7" s="472" t="s">
        <v>194</v>
      </c>
      <c r="M7" s="473">
        <f>2*N26*TAN(M8)/N28-N30</f>
        <v>0.7875224664796526</v>
      </c>
      <c r="N7" s="474">
        <f>2*N27*TAN(N8)/N29-N31</f>
        <v>0.9592225906704696</v>
      </c>
    </row>
    <row r="8" spans="1:14" ht="15" customHeight="1">
      <c r="A8" s="147"/>
      <c r="B8" s="156" t="str">
        <f>0!C143</f>
        <v>Diş dibi mukavemeti</v>
      </c>
      <c r="C8" s="475" t="s">
        <v>67</v>
      </c>
      <c r="D8" s="205" t="s">
        <v>52</v>
      </c>
      <c r="E8" s="166">
        <f>1!H31</f>
        <v>310</v>
      </c>
      <c r="F8" s="159">
        <f>1!H32</f>
        <v>310</v>
      </c>
      <c r="G8" s="1"/>
      <c r="H8" s="156" t="str">
        <f>0!C138</f>
        <v>Diş genişliği</v>
      </c>
      <c r="I8" s="476" t="s">
        <v>8</v>
      </c>
      <c r="J8" s="205" t="s">
        <v>57</v>
      </c>
      <c r="K8" s="164">
        <f>6!E9</f>
        <v>140</v>
      </c>
      <c r="L8" s="5"/>
      <c r="M8" s="477">
        <f>M7</f>
        <v>0.7875224664796526</v>
      </c>
      <c r="N8" s="478">
        <f>N7</f>
        <v>0.9592225906704696</v>
      </c>
    </row>
    <row r="9" spans="1:28" ht="15" customHeight="1">
      <c r="A9" s="147"/>
      <c r="B9" s="156" t="str">
        <f>0!C142</f>
        <v>Diş yanak mukavemeti</v>
      </c>
      <c r="C9" s="475" t="s">
        <v>68</v>
      </c>
      <c r="D9" s="205" t="s">
        <v>52</v>
      </c>
      <c r="E9" s="166">
        <f>1!H33</f>
        <v>1100</v>
      </c>
      <c r="F9" s="159">
        <f>1!H34</f>
        <v>1100</v>
      </c>
      <c r="G9" s="1"/>
      <c r="H9" s="156" t="str">
        <f>0!C94</f>
        <v>Modül</v>
      </c>
      <c r="I9" s="479" t="s">
        <v>60</v>
      </c>
      <c r="J9" s="218" t="s">
        <v>57</v>
      </c>
      <c r="K9" s="164">
        <f>6!D7</f>
        <v>8</v>
      </c>
      <c r="L9" s="5"/>
      <c r="V9" s="480" t="str">
        <f>IF(MIN(E31:F31)&gt;E32,"Yeterli","Yetersiz")</f>
        <v>Yeterli</v>
      </c>
      <c r="W9" s="427"/>
      <c r="X9" s="427"/>
      <c r="Y9" s="427"/>
      <c r="Z9" s="427"/>
      <c r="AA9" s="418"/>
      <c r="AB9" s="480" t="str">
        <f>IF(MIN(K33:L33)&gt;K34,"Yeterli","Yetersiz")</f>
        <v>Yeterli</v>
      </c>
    </row>
    <row r="10" spans="1:28" ht="15" customHeight="1">
      <c r="A10" s="147"/>
      <c r="B10" s="16" t="str">
        <f>0!C62</f>
        <v>Elastiklik modülü</v>
      </c>
      <c r="C10" s="343" t="s">
        <v>195</v>
      </c>
      <c r="D10" s="206" t="s">
        <v>52</v>
      </c>
      <c r="E10" s="254">
        <f>1!H27</f>
        <v>210000</v>
      </c>
      <c r="F10" s="255">
        <f>1!H28</f>
        <v>210000</v>
      </c>
      <c r="G10" s="1"/>
      <c r="H10" s="16" t="str">
        <f>0!C141</f>
        <v>Çevirme oranı</v>
      </c>
      <c r="I10" s="481" t="s">
        <v>0</v>
      </c>
      <c r="J10" s="265" t="s">
        <v>84</v>
      </c>
      <c r="K10" s="162">
        <f>6!E6/6!D6</f>
        <v>3.8125</v>
      </c>
      <c r="L10" s="5"/>
      <c r="M10" s="956" t="str">
        <f>IF(Info!I13&gt;2.5,S24,IF(Info!I13&gt;1.5,S19,S14))</f>
        <v>Bu bir yineleme hesabıdır. Mavi karelerde "#ZAHL! " veya " #DIV0!" görüldüğünde, "#ZAHL! "  veya " #DIV0!" yerine "=Tetanın kare numarasını" (bir üst kare) veriniz. Daha sonra standart çubukta şu emirleri veriniz: </v>
      </c>
      <c r="N10" s="956"/>
      <c r="V10" s="480" t="str">
        <f>IF(MIN(E31:F31)&gt;E32,"zulässig ","  Nicht zulässig!")</f>
        <v>zulässig </v>
      </c>
      <c r="AB10" s="480" t="str">
        <f>IF(MIN(K33:L33)&gt;K34,"zulässig ","  Nicht zulässig!")</f>
        <v>zulässig </v>
      </c>
    </row>
    <row r="11" spans="1:28" ht="15" customHeight="1">
      <c r="A11" s="147"/>
      <c r="B11" s="96" t="str">
        <f>0!C99</f>
        <v>Kısmi diş dibi gerilimi</v>
      </c>
      <c r="C11" s="482"/>
      <c r="D11" s="147"/>
      <c r="E11" s="5"/>
      <c r="F11" s="5"/>
      <c r="G11" s="1"/>
      <c r="H11" s="483" t="str">
        <f>0!C98</f>
        <v>Yerel Hertz basıncı</v>
      </c>
      <c r="I11" s="256"/>
      <c r="J11" s="5"/>
      <c r="K11" s="81"/>
      <c r="L11" s="5"/>
      <c r="M11" s="956"/>
      <c r="N11" s="956"/>
      <c r="V11" s="480" t="str">
        <f>IF(MIN(E31:F31)&gt;E32,"Permissible","Inadmissible! ")</f>
        <v>Permissible</v>
      </c>
      <c r="AB11" s="480" t="str">
        <f>IF(MIN(K33:L33)&gt;K34,"Permissible","Inadmissible! ")</f>
        <v>Permissible</v>
      </c>
    </row>
    <row r="12" spans="1:14" ht="15" customHeight="1">
      <c r="A12" s="147"/>
      <c r="B12" s="155" t="str">
        <f>0!C99</f>
        <v>Kısmi diş dibi gerilimi</v>
      </c>
      <c r="C12" s="484" t="s">
        <v>196</v>
      </c>
      <c r="D12" s="175" t="s">
        <v>52</v>
      </c>
      <c r="E12" s="167">
        <f>E7/6!E9/6!D7*E13*E14*E15*E16</f>
        <v>81.98411662058673</v>
      </c>
      <c r="F12" s="167">
        <f>F7/6!E9/6!D7*F13*F14*F15*F16</f>
        <v>77.60149429406093</v>
      </c>
      <c r="G12" s="1"/>
      <c r="H12" s="155" t="str">
        <f>0!C98</f>
        <v>Yerel Hertz basıncı</v>
      </c>
      <c r="I12" s="485" t="s">
        <v>197</v>
      </c>
      <c r="J12" s="157" t="s">
        <v>52</v>
      </c>
      <c r="K12" s="170">
        <f>K18*K13*K14</f>
        <v>539.4527239914755</v>
      </c>
      <c r="L12" s="354"/>
      <c r="M12" s="956"/>
      <c r="N12" s="956"/>
    </row>
    <row r="13" spans="1:14" ht="15" customHeight="1">
      <c r="A13" s="147"/>
      <c r="B13" s="156" t="str">
        <f>0!C84</f>
        <v>Dişüstü faktörü</v>
      </c>
      <c r="C13" s="252" t="s">
        <v>198</v>
      </c>
      <c r="D13" s="264" t="s">
        <v>84</v>
      </c>
      <c r="E13" s="486">
        <f>AA44</f>
        <v>2.6113241294460248</v>
      </c>
      <c r="F13" s="487">
        <f>AD44</f>
        <v>2.278542971809943</v>
      </c>
      <c r="G13" s="1"/>
      <c r="H13" s="156" t="str">
        <f>0!C125</f>
        <v>Yük payı faktörü</v>
      </c>
      <c r="I13" s="257" t="s">
        <v>199</v>
      </c>
      <c r="J13" s="264" t="s">
        <v>84</v>
      </c>
      <c r="K13" s="488">
        <f>AD297</f>
        <v>0.8153164966922368</v>
      </c>
      <c r="L13" s="354"/>
      <c r="M13" s="956"/>
      <c r="N13" s="956"/>
    </row>
    <row r="14" spans="1:30" ht="15" customHeight="1">
      <c r="A14" s="147"/>
      <c r="B14" s="156" t="str">
        <f>0!C116</f>
        <v>Çentik faktörü</v>
      </c>
      <c r="C14" s="252" t="s">
        <v>200</v>
      </c>
      <c r="D14" s="264" t="s">
        <v>84</v>
      </c>
      <c r="E14" s="486">
        <f>Z211</f>
        <v>1.7211181517600473</v>
      </c>
      <c r="F14" s="487">
        <f>AD211</f>
        <v>1.8670442272138676</v>
      </c>
      <c r="G14" s="1"/>
      <c r="H14" s="156" t="str">
        <f>B16</f>
        <v>Helis faktörü </v>
      </c>
      <c r="I14" s="257" t="s">
        <v>201</v>
      </c>
      <c r="J14" s="264" t="s">
        <v>84</v>
      </c>
      <c r="K14" s="488">
        <f>AD307</f>
        <v>0.9922541536436198</v>
      </c>
      <c r="L14" s="354"/>
      <c r="M14" s="956"/>
      <c r="N14" s="956"/>
      <c r="S14" s="953" t="s">
        <v>202</v>
      </c>
      <c r="T14" s="953"/>
      <c r="U14" s="953"/>
      <c r="V14" s="953"/>
      <c r="W14" s="953"/>
      <c r="X14" s="953"/>
      <c r="Y14" s="953"/>
      <c r="Z14" s="953"/>
      <c r="AA14" s="953"/>
      <c r="AB14" s="953"/>
      <c r="AC14" s="953"/>
      <c r="AD14" s="953"/>
    </row>
    <row r="15" spans="1:30" ht="15" customHeight="1">
      <c r="A15" s="147"/>
      <c r="B15" s="156" t="str">
        <f>0!C125</f>
        <v>Yük payı faktörü</v>
      </c>
      <c r="C15" s="252" t="s">
        <v>203</v>
      </c>
      <c r="D15" s="264" t="s">
        <v>84</v>
      </c>
      <c r="E15" s="335">
        <f>AD154</f>
        <v>0.731984514385756</v>
      </c>
      <c r="F15" s="268">
        <f>E15</f>
        <v>0.731984514385756</v>
      </c>
      <c r="G15" s="1"/>
      <c r="H15" s="156" t="str">
        <f>0!C146</f>
        <v>Diş yanağı form faktörü </v>
      </c>
      <c r="I15" s="257" t="s">
        <v>204</v>
      </c>
      <c r="J15" s="264" t="s">
        <v>84</v>
      </c>
      <c r="K15" s="488">
        <f>AD311</f>
        <v>2.396263463373117</v>
      </c>
      <c r="L15" s="354"/>
      <c r="M15" s="956"/>
      <c r="N15" s="956"/>
      <c r="S15" s="953"/>
      <c r="T15" s="953"/>
      <c r="U15" s="953"/>
      <c r="V15" s="953"/>
      <c r="W15" s="953"/>
      <c r="X15" s="953"/>
      <c r="Y15" s="953"/>
      <c r="Z15" s="953"/>
      <c r="AA15" s="953"/>
      <c r="AB15" s="953"/>
      <c r="AC15" s="953"/>
      <c r="AD15" s="953"/>
    </row>
    <row r="16" spans="1:14" ht="15" customHeight="1">
      <c r="A16" s="147"/>
      <c r="B16" s="16" t="str">
        <f>0!C112</f>
        <v>Helis faktörü </v>
      </c>
      <c r="C16" s="489" t="s">
        <v>205</v>
      </c>
      <c r="D16" s="265" t="s">
        <v>84</v>
      </c>
      <c r="E16" s="490">
        <f>AD156</f>
        <v>0.9181250055760126</v>
      </c>
      <c r="F16" s="13">
        <f>E16</f>
        <v>0.9181250055760126</v>
      </c>
      <c r="G16" s="1"/>
      <c r="H16" s="16" t="str">
        <f>0!C61</f>
        <v>Elastikiyet faktörü </v>
      </c>
      <c r="I16" s="258" t="s">
        <v>206</v>
      </c>
      <c r="J16" s="265" t="s">
        <v>84</v>
      </c>
      <c r="K16" s="491">
        <f>AD316</f>
        <v>191.64567250641844</v>
      </c>
      <c r="L16" s="354"/>
      <c r="M16" s="956"/>
      <c r="N16" s="956"/>
    </row>
    <row r="17" spans="1:30" ht="15" customHeight="1">
      <c r="A17" s="147"/>
      <c r="B17" s="96" t="str">
        <f>0!C71</f>
        <v>Diş dibi karşılaştırma mukavemeti</v>
      </c>
      <c r="C17" s="250"/>
      <c r="D17" s="147"/>
      <c r="E17" s="5"/>
      <c r="F17" s="5"/>
      <c r="G17" s="1"/>
      <c r="H17" s="34" t="str">
        <f>0!C131</f>
        <v>İşletmede Hertz basıncı</v>
      </c>
      <c r="I17" s="256"/>
      <c r="J17" s="5"/>
      <c r="K17" s="81"/>
      <c r="L17" s="354"/>
      <c r="M17" s="956"/>
      <c r="N17" s="956"/>
      <c r="S17" s="954" t="s">
        <v>207</v>
      </c>
      <c r="T17" s="954"/>
      <c r="U17" s="954"/>
      <c r="V17" s="954"/>
      <c r="W17" s="954"/>
      <c r="X17" s="954"/>
      <c r="Y17" s="954"/>
      <c r="Z17" s="954"/>
      <c r="AA17" s="954"/>
      <c r="AB17" s="954"/>
      <c r="AC17" s="954"/>
      <c r="AD17" s="954"/>
    </row>
    <row r="18" spans="1:14" ht="15" customHeight="1">
      <c r="A18" s="147"/>
      <c r="B18" s="155" t="str">
        <f>0!C71</f>
        <v>Diş dibi karşılaştırma mukavemeti</v>
      </c>
      <c r="C18" s="484" t="s">
        <v>208</v>
      </c>
      <c r="D18" s="157" t="s">
        <v>52</v>
      </c>
      <c r="E18" s="168">
        <f>E12*E19*E20*E21*E22</f>
        <v>252.0974755417319</v>
      </c>
      <c r="F18" s="160">
        <f>F12*F19*F20*F21*F22</f>
        <v>238.62110877323823</v>
      </c>
      <c r="G18" s="1"/>
      <c r="H18" s="155" t="str">
        <f>0!C82</f>
        <v>Yanaklarda Hertz basıncı</v>
      </c>
      <c r="I18" s="485" t="s">
        <v>209</v>
      </c>
      <c r="J18" s="157" t="s">
        <v>52</v>
      </c>
      <c r="K18" s="170">
        <f>(E7*(K10+1)/(K8*K7*K10))^(0.5)*K15*K16</f>
        <v>666.8132718175547</v>
      </c>
      <c r="L18" s="354"/>
      <c r="M18" s="956" t="str">
        <f>IF(Info!I13&gt;2.5,S27,IF(Info!I13&gt;1.5,S22,S17))</f>
        <v>Araçlar  /  Seçenekler  /  Hesaplama  / yinelemeyi çengelleyin /  Şimdi Hesapla (F9) veya Tamam'a basın.</v>
      </c>
      <c r="N18" s="956"/>
    </row>
    <row r="19" spans="1:30" ht="15" customHeight="1">
      <c r="A19" s="147"/>
      <c r="B19" s="156" t="str">
        <f>0!C45</f>
        <v>İşletme faktörü </v>
      </c>
      <c r="C19" s="251" t="s">
        <v>210</v>
      </c>
      <c r="D19" s="264" t="s">
        <v>84</v>
      </c>
      <c r="E19" s="335">
        <f>'11'!O7</f>
        <v>1.5</v>
      </c>
      <c r="F19" s="268">
        <f>E19</f>
        <v>1.5</v>
      </c>
      <c r="G19" s="1"/>
      <c r="H19" s="156" t="str">
        <f>H17</f>
        <v>İşletmede Hertz basıncı</v>
      </c>
      <c r="I19" s="492" t="s">
        <v>154</v>
      </c>
      <c r="J19" s="205" t="s">
        <v>52</v>
      </c>
      <c r="K19" s="493">
        <f>K12*(K20*K21*K22*K23)^(0.5)</f>
        <v>981.7314794172196</v>
      </c>
      <c r="L19" s="354"/>
      <c r="M19" s="956"/>
      <c r="N19" s="956"/>
      <c r="S19" s="955" t="s">
        <v>211</v>
      </c>
      <c r="T19" s="955"/>
      <c r="U19" s="955"/>
      <c r="V19" s="955"/>
      <c r="W19" s="955"/>
      <c r="X19" s="955"/>
      <c r="Y19" s="955"/>
      <c r="Z19" s="955"/>
      <c r="AA19" s="955"/>
      <c r="AB19" s="955"/>
      <c r="AC19" s="955"/>
      <c r="AD19" s="955"/>
    </row>
    <row r="20" spans="1:30" ht="15" customHeight="1">
      <c r="A20" s="147"/>
      <c r="B20" s="156" t="str">
        <f>0!C58</f>
        <v>Dinamik faktör</v>
      </c>
      <c r="C20" s="252" t="s">
        <v>212</v>
      </c>
      <c r="D20" s="264" t="s">
        <v>84</v>
      </c>
      <c r="E20" s="335">
        <f>AD94</f>
        <v>1.0241855526543342</v>
      </c>
      <c r="F20" s="268">
        <f>E20</f>
        <v>1.0241855526543342</v>
      </c>
      <c r="G20" s="1"/>
      <c r="H20" s="156" t="str">
        <f>B19</f>
        <v>İşletme faktörü </v>
      </c>
      <c r="I20" s="494" t="s">
        <v>210</v>
      </c>
      <c r="J20" s="264" t="s">
        <v>84</v>
      </c>
      <c r="K20" s="268">
        <f>E19</f>
        <v>1.5</v>
      </c>
      <c r="L20" s="354"/>
      <c r="M20" s="956"/>
      <c r="N20" s="956"/>
      <c r="S20" s="955"/>
      <c r="T20" s="955"/>
      <c r="U20" s="955"/>
      <c r="V20" s="955"/>
      <c r="W20" s="955"/>
      <c r="X20" s="955"/>
      <c r="Y20" s="955"/>
      <c r="Z20" s="955"/>
      <c r="AA20" s="955"/>
      <c r="AB20" s="955"/>
      <c r="AC20" s="955"/>
      <c r="AD20" s="955"/>
    </row>
    <row r="21" spans="1:14" ht="15" customHeight="1">
      <c r="A21" s="147"/>
      <c r="B21" s="156" t="str">
        <f>0!C55</f>
        <v>Yük dağılma faktörü</v>
      </c>
      <c r="C21" s="252" t="s">
        <v>213</v>
      </c>
      <c r="D21" s="264" t="s">
        <v>84</v>
      </c>
      <c r="E21" s="495">
        <f>AD150</f>
        <v>1.6679676559058085</v>
      </c>
      <c r="F21" s="268">
        <f>E21</f>
        <v>1.6679676559058085</v>
      </c>
      <c r="G21" s="1"/>
      <c r="H21" s="156" t="str">
        <f>B20</f>
        <v>Dinamik faktör</v>
      </c>
      <c r="I21" s="257" t="s">
        <v>212</v>
      </c>
      <c r="J21" s="264" t="s">
        <v>84</v>
      </c>
      <c r="K21" s="268">
        <f>E20</f>
        <v>1.0241855526543342</v>
      </c>
      <c r="L21" s="354"/>
      <c r="M21" s="956"/>
      <c r="N21" s="956"/>
    </row>
    <row r="22" spans="1:30" ht="15" customHeight="1">
      <c r="A22" s="147"/>
      <c r="B22" s="207" t="str">
        <f>0!C120</f>
        <v>Alın yükü dağılma faktörü</v>
      </c>
      <c r="C22" s="253" t="s">
        <v>214</v>
      </c>
      <c r="D22" s="265" t="s">
        <v>84</v>
      </c>
      <c r="E22" s="490">
        <f>AD158</f>
        <v>1.2</v>
      </c>
      <c r="F22" s="13">
        <f>E22</f>
        <v>1.2</v>
      </c>
      <c r="G22" s="1"/>
      <c r="H22" s="156" t="str">
        <f>B21</f>
        <v>Yük dağılma faktörü</v>
      </c>
      <c r="I22" s="257" t="s">
        <v>215</v>
      </c>
      <c r="J22" s="264" t="s">
        <v>84</v>
      </c>
      <c r="K22" s="268">
        <f>AD84</f>
        <v>1.7965011628299614</v>
      </c>
      <c r="L22" s="354"/>
      <c r="M22" s="956"/>
      <c r="N22" s="956"/>
      <c r="S22" s="957" t="s">
        <v>216</v>
      </c>
      <c r="T22" s="957"/>
      <c r="U22" s="957"/>
      <c r="V22" s="957"/>
      <c r="W22" s="957"/>
      <c r="X22" s="957"/>
      <c r="Y22" s="957"/>
      <c r="Z22" s="957"/>
      <c r="AA22" s="957"/>
      <c r="AB22" s="957"/>
      <c r="AC22" s="957"/>
      <c r="AD22" s="957"/>
    </row>
    <row r="23" spans="1:14" ht="15" customHeight="1">
      <c r="A23" s="147"/>
      <c r="B23" s="96" t="str">
        <f>0!C76</f>
        <v>Diş dibi form mukavemeti</v>
      </c>
      <c r="C23" s="482"/>
      <c r="D23" s="5"/>
      <c r="E23" s="5"/>
      <c r="F23" s="5"/>
      <c r="G23" s="1"/>
      <c r="H23" s="16" t="str">
        <f>B22</f>
        <v>Alın yükü dağılma faktörü</v>
      </c>
      <c r="I23" s="258" t="s">
        <v>217</v>
      </c>
      <c r="J23" s="265" t="s">
        <v>84</v>
      </c>
      <c r="K23" s="13">
        <f>E22</f>
        <v>1.2</v>
      </c>
      <c r="L23" s="354"/>
      <c r="M23" s="1"/>
      <c r="N23" s="1"/>
    </row>
    <row r="24" spans="1:30" ht="15" customHeight="1">
      <c r="A24" s="147"/>
      <c r="B24" s="208" t="str">
        <f>0!C76</f>
        <v>Diş dibi form mukavemeti</v>
      </c>
      <c r="C24" s="496" t="s">
        <v>153</v>
      </c>
      <c r="D24" s="175" t="s">
        <v>52</v>
      </c>
      <c r="E24" s="171">
        <f>E8*E25*E26*E27*E28*E29</f>
        <v>618.6366840463803</v>
      </c>
      <c r="F24" s="172">
        <f>F8*F25*F26*F27*F28*F29</f>
        <v>618.6366840463803</v>
      </c>
      <c r="G24" s="1"/>
      <c r="H24" s="34" t="str">
        <f>0!C75</f>
        <v>Diş yanağı form mukavemeti</v>
      </c>
      <c r="I24" s="256"/>
      <c r="J24" s="5"/>
      <c r="K24" s="97" t="str">
        <f>E6</f>
        <v>Pinyon</v>
      </c>
      <c r="L24" s="97" t="str">
        <f>F6</f>
        <v>Çark</v>
      </c>
      <c r="M24" s="354"/>
      <c r="N24" s="147"/>
      <c r="S24" s="958" t="s">
        <v>218</v>
      </c>
      <c r="T24" s="958"/>
      <c r="U24" s="958"/>
      <c r="V24" s="958"/>
      <c r="W24" s="958"/>
      <c r="X24" s="958"/>
      <c r="Y24" s="958"/>
      <c r="Z24" s="958"/>
      <c r="AA24" s="958"/>
      <c r="AB24" s="958"/>
      <c r="AC24" s="958"/>
      <c r="AD24" s="958"/>
    </row>
    <row r="25" spans="1:30" ht="15" customHeight="1">
      <c r="A25" s="147"/>
      <c r="B25" s="210" t="str">
        <f>0!C116</f>
        <v>Çentik faktörü</v>
      </c>
      <c r="C25" s="251" t="s">
        <v>48</v>
      </c>
      <c r="D25" s="264" t="s">
        <v>84</v>
      </c>
      <c r="E25" s="486">
        <f>AD242</f>
        <v>2</v>
      </c>
      <c r="F25" s="268">
        <f>E25</f>
        <v>2</v>
      </c>
      <c r="G25" s="1"/>
      <c r="H25" s="9" t="str">
        <f>H24</f>
        <v>Diş yanağı form mukavemeti</v>
      </c>
      <c r="I25" s="485" t="s">
        <v>155</v>
      </c>
      <c r="J25" s="157" t="s">
        <v>52</v>
      </c>
      <c r="K25" s="161">
        <f>E9*K26*(K27*K28*K29)*K30*K31</f>
        <v>1239.3324185337178</v>
      </c>
      <c r="L25" s="161">
        <f>E9*L26*(L27*L28*L29)*L30*L31</f>
        <v>1239.3324185337178</v>
      </c>
      <c r="S25" s="958"/>
      <c r="T25" s="958"/>
      <c r="U25" s="958"/>
      <c r="V25" s="958"/>
      <c r="W25" s="958"/>
      <c r="X25" s="958"/>
      <c r="Y25" s="958"/>
      <c r="Z25" s="958"/>
      <c r="AA25" s="958"/>
      <c r="AB25" s="958"/>
      <c r="AC25" s="958"/>
      <c r="AD25" s="958"/>
    </row>
    <row r="26" spans="1:14" ht="15" customHeight="1">
      <c r="A26" s="147"/>
      <c r="B26" s="156" t="str">
        <f>0!C92</f>
        <v>Dayanma süresi faktörü </v>
      </c>
      <c r="C26" s="252" t="s">
        <v>49</v>
      </c>
      <c r="D26" s="264" t="s">
        <v>84</v>
      </c>
      <c r="E26" s="486">
        <f>AD245</f>
        <v>1</v>
      </c>
      <c r="F26" s="268">
        <f>E26</f>
        <v>1</v>
      </c>
      <c r="G26" s="1"/>
      <c r="H26" s="261" t="str">
        <f>B26</f>
        <v>Dayanma süresi faktörü </v>
      </c>
      <c r="I26" s="257" t="s">
        <v>220</v>
      </c>
      <c r="J26" s="264" t="s">
        <v>84</v>
      </c>
      <c r="K26" s="486">
        <f>AD334</f>
        <v>1.2370058841467824</v>
      </c>
      <c r="L26" s="268">
        <f aca="true" t="shared" si="0" ref="L26:L31">K26</f>
        <v>1.2370058841467824</v>
      </c>
      <c r="M26" s="119" t="s">
        <v>219</v>
      </c>
      <c r="N26" s="497">
        <f>Z199</f>
        <v>-0.75</v>
      </c>
    </row>
    <row r="27" spans="1:30" ht="15" customHeight="1">
      <c r="A27" s="147"/>
      <c r="B27" s="210" t="str">
        <f>0!C108</f>
        <v>Göreceli dayanışma faktörü</v>
      </c>
      <c r="C27" s="252" t="s">
        <v>55</v>
      </c>
      <c r="D27" s="264" t="s">
        <v>84</v>
      </c>
      <c r="E27" s="486">
        <f>AD255</f>
        <v>1</v>
      </c>
      <c r="F27" s="268">
        <f>E27</f>
        <v>1</v>
      </c>
      <c r="G27" s="1"/>
      <c r="H27" s="156" t="str">
        <f>0!C110</f>
        <v>Yağlama faktörü</v>
      </c>
      <c r="I27" s="257" t="s">
        <v>222</v>
      </c>
      <c r="J27" s="264" t="s">
        <v>84</v>
      </c>
      <c r="K27" s="486">
        <f>AD341</f>
        <v>1.016700364431487</v>
      </c>
      <c r="L27" s="268">
        <f t="shared" si="0"/>
        <v>1.016700364431487</v>
      </c>
      <c r="M27" s="119" t="s">
        <v>221</v>
      </c>
      <c r="N27" s="498">
        <f>AC199</f>
        <v>-0.971690401905269</v>
      </c>
      <c r="S27" s="952" t="s">
        <v>216</v>
      </c>
      <c r="T27" s="952"/>
      <c r="U27" s="952"/>
      <c r="V27" s="952"/>
      <c r="W27" s="952"/>
      <c r="X27" s="952"/>
      <c r="Y27" s="952"/>
      <c r="Z27" s="952"/>
      <c r="AA27" s="952"/>
      <c r="AB27" s="952"/>
      <c r="AC27" s="952"/>
      <c r="AD27" s="952"/>
    </row>
    <row r="28" spans="1:14" ht="15" customHeight="1">
      <c r="A28" s="147"/>
      <c r="B28" s="210" t="str">
        <f>0!C107</f>
        <v>Göreceli yüzey faktörü</v>
      </c>
      <c r="C28" s="252" t="s">
        <v>50</v>
      </c>
      <c r="D28" s="264" t="s">
        <v>84</v>
      </c>
      <c r="E28" s="486">
        <f>AD258</f>
        <v>1.0286609312377457</v>
      </c>
      <c r="F28" s="268">
        <f>E28</f>
        <v>1.0286609312377457</v>
      </c>
      <c r="G28" s="1"/>
      <c r="H28" s="156" t="str">
        <f>0!C74</f>
        <v>Hız faktörü</v>
      </c>
      <c r="I28" s="257" t="s">
        <v>224</v>
      </c>
      <c r="J28" s="264" t="s">
        <v>84</v>
      </c>
      <c r="K28" s="486">
        <f>AD353</f>
        <v>0.9573488583488853</v>
      </c>
      <c r="L28" s="268">
        <f t="shared" si="0"/>
        <v>0.9573488583488853</v>
      </c>
      <c r="M28" s="119" t="s">
        <v>223</v>
      </c>
      <c r="N28" s="498">
        <f>6!D27</f>
        <v>16.702457888778575</v>
      </c>
    </row>
    <row r="29" spans="1:14" ht="15" customHeight="1">
      <c r="A29" s="147"/>
      <c r="B29" s="207" t="str">
        <f>0!C77</f>
        <v>Büyüklük faktörü</v>
      </c>
      <c r="C29" s="253" t="s">
        <v>51</v>
      </c>
      <c r="D29" s="265" t="s">
        <v>84</v>
      </c>
      <c r="E29" s="499">
        <f>AD270</f>
        <v>0.9700000000000001</v>
      </c>
      <c r="F29" s="13">
        <f>E29</f>
        <v>0.9700000000000001</v>
      </c>
      <c r="G29" s="1"/>
      <c r="H29" s="156" t="str">
        <f>0!C106</f>
        <v>Kalite faktörü</v>
      </c>
      <c r="I29" s="257" t="s">
        <v>226</v>
      </c>
      <c r="J29" s="264" t="s">
        <v>84</v>
      </c>
      <c r="K29" s="486">
        <f>AD361</f>
        <v>0.9646914341988925</v>
      </c>
      <c r="L29" s="268">
        <f t="shared" si="0"/>
        <v>0.9646914341988925</v>
      </c>
      <c r="M29" s="119" t="s">
        <v>225</v>
      </c>
      <c r="N29" s="498">
        <f>6!E27</f>
        <v>63.67812070096832</v>
      </c>
    </row>
    <row r="30" spans="1:14" ht="15" customHeight="1">
      <c r="A30" s="147"/>
      <c r="B30" s="34" t="str">
        <f>0!C115</f>
        <v>Malzemenin diş dibi yorulma kırılmasına karşı emniyet katsayısı</v>
      </c>
      <c r="C30" s="482"/>
      <c r="D30" s="5"/>
      <c r="E30" s="5"/>
      <c r="F30" s="5"/>
      <c r="G30" s="1"/>
      <c r="H30" s="156" t="str">
        <f>0!C134</f>
        <v>Malzeme çifti faktörü</v>
      </c>
      <c r="I30" s="257" t="s">
        <v>228</v>
      </c>
      <c r="J30" s="264" t="s">
        <v>84</v>
      </c>
      <c r="K30" s="486">
        <f>AD372</f>
        <v>1</v>
      </c>
      <c r="L30" s="268">
        <f t="shared" si="0"/>
        <v>1</v>
      </c>
      <c r="M30" s="119" t="s">
        <v>227</v>
      </c>
      <c r="N30" s="498">
        <f>Z201</f>
        <v>-0.8777119760545626</v>
      </c>
    </row>
    <row r="31" spans="1:14" ht="15" customHeight="1">
      <c r="A31" s="147"/>
      <c r="B31" s="208" t="str">
        <f>0!C132</f>
        <v>Hesapsal Emniyet faktörü</v>
      </c>
      <c r="C31" s="500" t="s">
        <v>156</v>
      </c>
      <c r="D31" s="175" t="s">
        <v>84</v>
      </c>
      <c r="E31" s="216">
        <f>E24/E18</f>
        <v>2.4539582664086295</v>
      </c>
      <c r="F31" s="217">
        <f>F24/F18</f>
        <v>2.5925480240487486</v>
      </c>
      <c r="G31" s="1"/>
      <c r="H31" s="207" t="str">
        <f>B29</f>
        <v>Büyüklük faktörü</v>
      </c>
      <c r="I31" s="258" t="s">
        <v>230</v>
      </c>
      <c r="J31" s="265" t="s">
        <v>84</v>
      </c>
      <c r="K31" s="499">
        <f>AD376</f>
        <v>0.9700000000000001</v>
      </c>
      <c r="L31" s="13">
        <f t="shared" si="0"/>
        <v>0.9700000000000001</v>
      </c>
      <c r="M31" s="119" t="s">
        <v>229</v>
      </c>
      <c r="N31" s="498">
        <f>AC201</f>
        <v>-1.0027423183724573</v>
      </c>
    </row>
    <row r="32" spans="1:19" ht="15" customHeight="1">
      <c r="A32" s="147"/>
      <c r="B32" s="16" t="str">
        <f>0!C67</f>
        <v>Gerekli Emniyet faktörü</v>
      </c>
      <c r="C32" s="501" t="s">
        <v>231</v>
      </c>
      <c r="D32" s="265" t="s">
        <v>84</v>
      </c>
      <c r="E32" s="948">
        <f>'10'!G6</f>
        <v>1.4</v>
      </c>
      <c r="F32" s="949"/>
      <c r="G32" s="1"/>
      <c r="H32" s="34" t="str">
        <f>0!C114</f>
        <v>Malzemenin diş yanağının oyuklaşmaya karşı emniyet katsayısı</v>
      </c>
      <c r="I32" s="256"/>
      <c r="J32" s="81"/>
      <c r="K32" s="5"/>
      <c r="L32" s="5"/>
      <c r="M32" s="354"/>
      <c r="N32" s="354"/>
      <c r="S32" s="468">
        <f>(K20*K21*K22*K23)^0.5</f>
        <v>1.8198656448581265</v>
      </c>
    </row>
    <row r="33" spans="1:12" ht="15" customHeight="1">
      <c r="A33" s="147"/>
      <c r="B33" s="354"/>
      <c r="C33" s="354"/>
      <c r="D33" s="354"/>
      <c r="E33" s="950" t="str">
        <f>IF(Info!I13&gt;2.5,V11,IF(Info!I13&gt;1.5,V10,V9))</f>
        <v>Yeterli</v>
      </c>
      <c r="F33" s="950"/>
      <c r="G33" s="1"/>
      <c r="H33" s="208" t="str">
        <f>B31</f>
        <v>Hesapsal Emniyet faktörü</v>
      </c>
      <c r="I33" s="259" t="s">
        <v>157</v>
      </c>
      <c r="J33" s="264" t="s">
        <v>84</v>
      </c>
      <c r="K33" s="266">
        <f>K25/K19</f>
        <v>1.2623944984115378</v>
      </c>
      <c r="L33" s="267">
        <f>L25/K19</f>
        <v>1.2623944984115378</v>
      </c>
    </row>
    <row r="34" spans="1:12" ht="15" customHeight="1">
      <c r="A34" s="147"/>
      <c r="B34" s="502" t="str">
        <f>0!C50</f>
        <v>Düşünceler :</v>
      </c>
      <c r="C34" s="354"/>
      <c r="D34" s="354"/>
      <c r="E34" s="354"/>
      <c r="F34" s="354"/>
      <c r="H34" s="207" t="str">
        <f>B32</f>
        <v>Gerekli Emniyet faktörü</v>
      </c>
      <c r="I34" s="260" t="s">
        <v>232</v>
      </c>
      <c r="J34" s="265" t="s">
        <v>84</v>
      </c>
      <c r="K34" s="948">
        <f>'10'!G7</f>
        <v>0.8</v>
      </c>
      <c r="L34" s="949"/>
    </row>
    <row r="35" spans="1:13" ht="15" customHeight="1">
      <c r="A35" s="354"/>
      <c r="B35" s="361"/>
      <c r="C35" s="361"/>
      <c r="D35" s="361"/>
      <c r="E35" s="361"/>
      <c r="F35" s="354"/>
      <c r="G35" s="354"/>
      <c r="K35" s="951" t="str">
        <f>IF(Info!I13&gt;2.5,AB11,IF(Info!I13&gt;1.5,AB10,AB9))</f>
        <v>Yeterli</v>
      </c>
      <c r="L35" s="951"/>
      <c r="M35" s="248"/>
    </row>
    <row r="36" spans="1:7" ht="15" customHeight="1">
      <c r="A36" s="354"/>
      <c r="B36" s="361"/>
      <c r="C36" s="361"/>
      <c r="D36" s="361"/>
      <c r="E36" s="361"/>
      <c r="F36" s="354"/>
      <c r="G36" s="354"/>
    </row>
    <row r="37" spans="1:16" ht="15" customHeight="1">
      <c r="A37" s="354"/>
      <c r="G37" s="1"/>
      <c r="H37" s="1"/>
      <c r="N37" s="354"/>
      <c r="O37" s="147"/>
      <c r="P37" s="147"/>
    </row>
    <row r="38" spans="1:16" ht="15" customHeight="1">
      <c r="A38" s="354"/>
      <c r="B38" s="354"/>
      <c r="G38" s="1"/>
      <c r="N38" s="354"/>
      <c r="O38" s="147"/>
      <c r="P38" s="147"/>
    </row>
    <row r="39" spans="1:26" ht="19.5" customHeight="1">
      <c r="A39" s="354"/>
      <c r="B39" s="354"/>
      <c r="G39" s="1"/>
      <c r="N39" s="354"/>
      <c r="O39" s="147"/>
      <c r="P39" s="147"/>
      <c r="Z39" s="546"/>
    </row>
    <row r="40" spans="1:16" ht="19.5" customHeight="1">
      <c r="A40" s="354"/>
      <c r="B40" s="354"/>
      <c r="G40" s="1"/>
      <c r="N40" s="354"/>
      <c r="O40" s="147"/>
      <c r="P40" s="147"/>
    </row>
    <row r="41" spans="17:32" ht="19.5" customHeight="1">
      <c r="Q41" s="355"/>
      <c r="R41" s="355"/>
      <c r="S41" s="507"/>
      <c r="T41" s="503" t="str">
        <f>B13</f>
        <v>Dişüstü faktörü</v>
      </c>
      <c r="U41" s="504" t="s">
        <v>233</v>
      </c>
      <c r="V41" s="357"/>
      <c r="W41" s="357"/>
      <c r="X41" s="357"/>
      <c r="Y41" s="357"/>
      <c r="AE41" s="357"/>
      <c r="AF41" s="509"/>
    </row>
    <row r="42" spans="17:32" ht="19.5" customHeight="1">
      <c r="Q42" s="510"/>
      <c r="R42" s="510"/>
      <c r="S42" s="511"/>
      <c r="T42" s="507"/>
      <c r="U42" s="510"/>
      <c r="V42" s="510"/>
      <c r="W42" s="510"/>
      <c r="X42" s="512"/>
      <c r="Y42" s="510"/>
      <c r="Z42" s="510"/>
      <c r="AA42" s="507"/>
      <c r="AB42" s="507"/>
      <c r="AC42" s="510"/>
      <c r="AD42" s="510"/>
      <c r="AE42" s="510"/>
      <c r="AF42" s="513"/>
    </row>
    <row r="43" spans="17:32" ht="19.5" customHeight="1" thickBot="1">
      <c r="Q43" s="510"/>
      <c r="R43" s="510"/>
      <c r="S43" s="511"/>
      <c r="T43" s="507"/>
      <c r="U43" s="510"/>
      <c r="V43" s="510"/>
      <c r="W43" s="510"/>
      <c r="X43" s="512"/>
      <c r="Y43" s="510"/>
      <c r="Z43" s="510"/>
      <c r="AA43" s="507"/>
      <c r="AB43" s="507"/>
      <c r="AC43" s="510"/>
      <c r="AD43" s="510"/>
      <c r="AE43" s="510"/>
      <c r="AF43" s="513"/>
    </row>
    <row r="44" spans="17:32" ht="19.5" customHeight="1" thickBot="1">
      <c r="Q44" s="510"/>
      <c r="R44" s="510"/>
      <c r="S44" s="511"/>
      <c r="T44" s="507"/>
      <c r="U44" s="510"/>
      <c r="V44" s="510"/>
      <c r="W44" s="510"/>
      <c r="X44" s="512"/>
      <c r="Y44" s="510"/>
      <c r="Z44" s="505" t="s">
        <v>234</v>
      </c>
      <c r="AA44" s="506">
        <f>6*AA48*AA49/AA50^2/AA51</f>
        <v>2.6113241294460248</v>
      </c>
      <c r="AB44" s="507"/>
      <c r="AC44" s="505" t="s">
        <v>235</v>
      </c>
      <c r="AD44" s="506">
        <f>6*AD48*AD49/AD50^2/AD51</f>
        <v>2.278542971809943</v>
      </c>
      <c r="AE44" s="510"/>
      <c r="AF44" s="513"/>
    </row>
    <row r="45" spans="17:32" ht="19.5" customHeight="1">
      <c r="Q45" s="510"/>
      <c r="R45" s="510"/>
      <c r="S45" s="511"/>
      <c r="T45" s="507"/>
      <c r="U45" s="510"/>
      <c r="V45" s="510"/>
      <c r="W45" s="510"/>
      <c r="X45" s="512"/>
      <c r="Y45" s="510"/>
      <c r="AB45" s="507"/>
      <c r="AE45" s="510"/>
      <c r="AF45" s="513"/>
    </row>
    <row r="46" spans="17:32" ht="19.5" customHeight="1">
      <c r="Q46" s="510"/>
      <c r="R46" s="510"/>
      <c r="S46" s="511"/>
      <c r="T46" s="507"/>
      <c r="U46" s="510"/>
      <c r="V46" s="510"/>
      <c r="W46" s="510"/>
      <c r="X46" s="512"/>
      <c r="Y46" s="510"/>
      <c r="AB46" s="507"/>
      <c r="AE46" s="510"/>
      <c r="AF46" s="513"/>
    </row>
    <row r="47" spans="17:32" ht="19.5" customHeight="1">
      <c r="Q47" s="510"/>
      <c r="R47" s="510"/>
      <c r="S47" s="511"/>
      <c r="T47" s="507"/>
      <c r="U47" s="510"/>
      <c r="V47" s="510"/>
      <c r="W47" s="510"/>
      <c r="X47" s="512"/>
      <c r="Y47" s="510"/>
      <c r="AB47" s="507"/>
      <c r="AE47" s="510"/>
      <c r="AF47" s="513"/>
    </row>
    <row r="48" spans="17:32" ht="19.5" customHeight="1">
      <c r="Q48" s="510"/>
      <c r="R48" s="510"/>
      <c r="S48" s="511"/>
      <c r="T48" s="507"/>
      <c r="U48" s="510"/>
      <c r="V48" s="510"/>
      <c r="W48" s="510"/>
      <c r="X48" s="512"/>
      <c r="Y48" s="510"/>
      <c r="Z48" s="514" t="s">
        <v>236</v>
      </c>
      <c r="AA48" s="515">
        <f>AA57/2*(AA51/AA49-COS(PI()/3-AA55))+0.5*(AA56/AA58-AA54/COS(AA55))</f>
        <v>1.988994451773066</v>
      </c>
      <c r="AB48" s="507"/>
      <c r="AC48" s="514" t="s">
        <v>237</v>
      </c>
      <c r="AD48" s="516">
        <f>AD57/2*(AD51/AD49-COS(PI()/3-AD55))+0.5*(AD56/AD58-AD54/(COS(AD55)))</f>
        <v>1.9396021407709838</v>
      </c>
      <c r="AE48" s="510"/>
      <c r="AF48" s="513"/>
    </row>
    <row r="49" spans="17:32" ht="19.5" customHeight="1">
      <c r="Q49" s="510"/>
      <c r="R49" s="510"/>
      <c r="S49" s="511"/>
      <c r="T49" s="507"/>
      <c r="U49" s="510"/>
      <c r="V49" s="510"/>
      <c r="W49" s="510"/>
      <c r="X49" s="512"/>
      <c r="Y49" s="510"/>
      <c r="Z49" s="514" t="s">
        <v>589</v>
      </c>
      <c r="AA49" s="515">
        <f>COS(AA60)</f>
        <v>0.8345146467633564</v>
      </c>
      <c r="AB49" s="507"/>
      <c r="AC49" s="514" t="s">
        <v>590</v>
      </c>
      <c r="AD49" s="516">
        <f>COS(AD60)</f>
        <v>0.9153903139047538</v>
      </c>
      <c r="AE49" s="510"/>
      <c r="AF49" s="513"/>
    </row>
    <row r="50" spans="17:32" ht="19.5" customHeight="1">
      <c r="Q50" s="510"/>
      <c r="R50" s="510"/>
      <c r="S50" s="511"/>
      <c r="T50" s="507"/>
      <c r="U50" s="510"/>
      <c r="V50" s="510"/>
      <c r="W50" s="510"/>
      <c r="X50" s="512"/>
      <c r="Y50" s="510"/>
      <c r="Z50" s="514" t="s">
        <v>587</v>
      </c>
      <c r="AA50" s="515">
        <f>AA57*SIN(PI()/3-AA55)+3^0.5*(AA54/COS(AA55)-AA56/AA58)</f>
        <v>2.0145873085423323</v>
      </c>
      <c r="AB50" s="1"/>
      <c r="AC50" s="514" t="s">
        <v>588</v>
      </c>
      <c r="AD50" s="516">
        <f>AD57*SIN(PI()/3-AD55)+3^0.5*(AD54/COS(AD55)-AD56/AD58)</f>
        <v>2.230558351818466</v>
      </c>
      <c r="AE50" s="510"/>
      <c r="AF50" s="1"/>
    </row>
    <row r="51" spans="17:32" ht="19.5" customHeight="1">
      <c r="Q51" s="510"/>
      <c r="R51" s="510"/>
      <c r="S51" s="511"/>
      <c r="T51" s="507"/>
      <c r="U51" s="510"/>
      <c r="V51" s="510"/>
      <c r="W51" s="510"/>
      <c r="X51" s="512"/>
      <c r="Y51" s="510"/>
      <c r="Z51" s="514" t="s">
        <v>592</v>
      </c>
      <c r="AA51" s="515">
        <f>COS(2!D8*PI()/180)</f>
        <v>0.9396926207859084</v>
      </c>
      <c r="AB51" s="507"/>
      <c r="AC51" s="514" t="s">
        <v>592</v>
      </c>
      <c r="AD51" s="516">
        <f>AA51</f>
        <v>0.9396926207859084</v>
      </c>
      <c r="AE51" s="510"/>
      <c r="AF51" s="513"/>
    </row>
    <row r="52" spans="17:32" ht="19.5" customHeight="1">
      <c r="Q52" s="510"/>
      <c r="R52" s="510"/>
      <c r="S52" s="511"/>
      <c r="T52" s="507"/>
      <c r="U52" s="510"/>
      <c r="V52" s="510"/>
      <c r="W52" s="510"/>
      <c r="X52" s="512"/>
      <c r="Y52" s="510"/>
      <c r="Z52" s="510"/>
      <c r="AA52" s="507"/>
      <c r="AB52" s="507"/>
      <c r="AC52" s="510"/>
      <c r="AD52" s="510"/>
      <c r="AE52" s="510"/>
      <c r="AF52" s="513"/>
    </row>
    <row r="53" spans="17:32" ht="19.5" customHeight="1">
      <c r="Q53" s="510"/>
      <c r="R53" s="510"/>
      <c r="S53" s="511"/>
      <c r="T53" s="517"/>
      <c r="U53" s="510"/>
      <c r="V53" s="510"/>
      <c r="W53" s="510"/>
      <c r="X53" s="512"/>
      <c r="Y53" s="510"/>
      <c r="Z53" s="510"/>
      <c r="AA53" s="507"/>
      <c r="AB53" s="507"/>
      <c r="AC53" s="510"/>
      <c r="AD53" s="510"/>
      <c r="AE53" s="510"/>
      <c r="AF53" s="513"/>
    </row>
    <row r="54" spans="17:32" ht="19.5" customHeight="1">
      <c r="Q54" s="510"/>
      <c r="R54" s="510"/>
      <c r="S54" s="416"/>
      <c r="T54" s="507"/>
      <c r="U54" s="510"/>
      <c r="V54" s="510"/>
      <c r="W54" s="510"/>
      <c r="X54" s="512"/>
      <c r="Y54" s="510"/>
      <c r="Z54" s="518" t="s">
        <v>243</v>
      </c>
      <c r="AA54" s="519">
        <f>$Z$197-1</f>
        <v>-0.75</v>
      </c>
      <c r="AB54" s="507"/>
      <c r="AC54" s="518" t="s">
        <v>244</v>
      </c>
      <c r="AD54" s="520">
        <f>$AB$197-1</f>
        <v>-0.971690401905269</v>
      </c>
      <c r="AE54" s="510"/>
      <c r="AF54" s="513"/>
    </row>
    <row r="55" spans="17:32" ht="19.5" customHeight="1">
      <c r="Q55" s="510"/>
      <c r="R55" s="510"/>
      <c r="S55" s="511"/>
      <c r="T55" s="507"/>
      <c r="U55" s="510"/>
      <c r="V55" s="510"/>
      <c r="W55" s="510"/>
      <c r="X55" s="512"/>
      <c r="Y55" s="510"/>
      <c r="Z55" s="535" t="s">
        <v>245</v>
      </c>
      <c r="AA55" s="521">
        <f>M7</f>
        <v>0.7875224664796526</v>
      </c>
      <c r="AB55" s="507"/>
      <c r="AC55" s="535" t="s">
        <v>246</v>
      </c>
      <c r="AD55" s="522">
        <f>N7</f>
        <v>0.9592225906704696</v>
      </c>
      <c r="AE55" s="510"/>
      <c r="AF55" s="513"/>
    </row>
    <row r="56" spans="17:32" ht="19.5" customHeight="1">
      <c r="Q56" s="510"/>
      <c r="R56" s="510"/>
      <c r="S56" s="511"/>
      <c r="T56" s="517"/>
      <c r="U56" s="510"/>
      <c r="V56" s="510"/>
      <c r="W56" s="510"/>
      <c r="X56" s="512"/>
      <c r="Y56" s="510"/>
      <c r="Z56" s="535" t="s">
        <v>247</v>
      </c>
      <c r="AA56" s="521">
        <f>0.25*AA58</f>
        <v>2</v>
      </c>
      <c r="AB56" s="507"/>
      <c r="AC56" s="535" t="s">
        <v>247</v>
      </c>
      <c r="AD56" s="522">
        <f>AA56</f>
        <v>2</v>
      </c>
      <c r="AE56" s="510"/>
      <c r="AF56" s="513"/>
    </row>
    <row r="57" spans="17:32" ht="19.5" customHeight="1">
      <c r="Q57" s="510"/>
      <c r="R57" s="510"/>
      <c r="S57" s="511"/>
      <c r="T57" s="507"/>
      <c r="U57" s="510"/>
      <c r="V57" s="510"/>
      <c r="W57" s="510"/>
      <c r="X57" s="512"/>
      <c r="Y57" s="510"/>
      <c r="Z57" s="750" t="s">
        <v>248</v>
      </c>
      <c r="AA57" s="751">
        <f>6!D27</f>
        <v>16.702457888778575</v>
      </c>
      <c r="AB57" s="507"/>
      <c r="AC57" s="750" t="s">
        <v>249</v>
      </c>
      <c r="AD57" s="751">
        <f>6!E27</f>
        <v>63.67812070096832</v>
      </c>
      <c r="AE57" s="510"/>
      <c r="AF57" s="513"/>
    </row>
    <row r="58" spans="17:32" ht="19.5" customHeight="1">
      <c r="Q58" s="510"/>
      <c r="R58" s="510"/>
      <c r="S58" s="511"/>
      <c r="T58" s="507"/>
      <c r="U58" s="510"/>
      <c r="V58" s="510"/>
      <c r="W58" s="510"/>
      <c r="X58" s="512"/>
      <c r="Y58" s="510"/>
      <c r="Z58" s="750" t="s">
        <v>558</v>
      </c>
      <c r="AA58" s="751">
        <f>6!D7</f>
        <v>8</v>
      </c>
      <c r="AB58" s="507"/>
      <c r="AC58" s="754" t="s">
        <v>250</v>
      </c>
      <c r="AD58" s="755">
        <f>AA58</f>
        <v>8</v>
      </c>
      <c r="AE58" s="510"/>
      <c r="AF58" s="513"/>
    </row>
    <row r="59" spans="17:32" ht="19.5" customHeight="1">
      <c r="Q59" s="510"/>
      <c r="R59" s="510"/>
      <c r="S59" s="511"/>
      <c r="T59" s="517"/>
      <c r="U59" s="510"/>
      <c r="V59" s="510"/>
      <c r="W59" s="510"/>
      <c r="X59" s="512"/>
      <c r="Y59" s="510"/>
      <c r="Z59" s="510"/>
      <c r="AA59" s="507"/>
      <c r="AB59" s="507"/>
      <c r="AC59" s="510"/>
      <c r="AD59" s="510"/>
      <c r="AE59" s="510"/>
      <c r="AF59" s="513"/>
    </row>
    <row r="60" spans="17:32" ht="19.5" customHeight="1">
      <c r="Q60" s="510"/>
      <c r="R60" s="510"/>
      <c r="S60" s="511"/>
      <c r="T60" s="507"/>
      <c r="U60" s="510"/>
      <c r="V60" s="510"/>
      <c r="W60" s="510"/>
      <c r="X60" s="512"/>
      <c r="Y60" s="510"/>
      <c r="Z60" s="787" t="s">
        <v>251</v>
      </c>
      <c r="AA60" s="519">
        <f>AA62-AA75</f>
        <v>0.583545011700803</v>
      </c>
      <c r="AB60" s="507"/>
      <c r="AC60" s="787" t="s">
        <v>252</v>
      </c>
      <c r="AD60" s="520">
        <f>AD62-AC75</f>
        <v>0.4143199109379849</v>
      </c>
      <c r="AE60" s="510"/>
      <c r="AF60" s="513"/>
    </row>
    <row r="61" spans="17:32" ht="19.5" customHeight="1">
      <c r="Q61" s="510"/>
      <c r="R61" s="510"/>
      <c r="S61" s="511"/>
      <c r="T61" s="507"/>
      <c r="U61" s="510"/>
      <c r="V61" s="510"/>
      <c r="W61" s="510"/>
      <c r="X61" s="512"/>
      <c r="Y61" s="510"/>
      <c r="Z61" s="510"/>
      <c r="AA61" s="507"/>
      <c r="AB61" s="507"/>
      <c r="AC61" s="510"/>
      <c r="AD61" s="510"/>
      <c r="AE61" s="357"/>
      <c r="AF61" s="1"/>
    </row>
    <row r="62" spans="17:32" ht="19.5" customHeight="1">
      <c r="Q62" s="510"/>
      <c r="R62" s="510"/>
      <c r="S62" s="511"/>
      <c r="T62" s="507"/>
      <c r="U62" s="510"/>
      <c r="V62" s="510"/>
      <c r="W62" s="510"/>
      <c r="X62" s="512"/>
      <c r="Y62" s="510"/>
      <c r="Z62" s="535" t="s">
        <v>253</v>
      </c>
      <c r="AA62" s="521">
        <f>ACOS(AA67/AA69)</f>
        <v>0.6129981280969446</v>
      </c>
      <c r="AC62" s="591" t="s">
        <v>254</v>
      </c>
      <c r="AD62" s="522">
        <f>ACOS(AC67/AC69)</f>
        <v>0.42635414748549305</v>
      </c>
      <c r="AE62" s="510"/>
      <c r="AF62" s="513"/>
    </row>
    <row r="63" spans="17:32" ht="19.5" customHeight="1">
      <c r="Q63" s="510"/>
      <c r="R63" s="510"/>
      <c r="S63" s="507"/>
      <c r="T63" s="507"/>
      <c r="U63" s="510"/>
      <c r="V63" s="510"/>
      <c r="W63" s="510"/>
      <c r="X63" s="512"/>
      <c r="Y63" s="510"/>
      <c r="Z63" s="510"/>
      <c r="AA63" s="507"/>
      <c r="AB63" s="507"/>
      <c r="AC63" s="510"/>
      <c r="AD63" s="510"/>
      <c r="AE63" s="510"/>
      <c r="AF63" s="513"/>
    </row>
    <row r="64" spans="17:32" ht="19.5" customHeight="1">
      <c r="Q64" s="510"/>
      <c r="R64" s="510"/>
      <c r="S64" s="507"/>
      <c r="T64" s="507"/>
      <c r="U64" s="510"/>
      <c r="V64" s="510"/>
      <c r="W64" s="510"/>
      <c r="X64" s="512"/>
      <c r="Y64" s="510"/>
      <c r="Z64" s="510"/>
      <c r="AA64" s="507"/>
      <c r="AB64" s="507"/>
      <c r="AC64" s="510"/>
      <c r="AD64" s="510"/>
      <c r="AE64" s="510"/>
      <c r="AF64" s="513"/>
    </row>
    <row r="65" spans="17:32" ht="19.5" customHeight="1">
      <c r="Q65" s="510"/>
      <c r="R65" s="510"/>
      <c r="S65" s="507"/>
      <c r="T65" s="507"/>
      <c r="U65" s="510"/>
      <c r="V65" s="510"/>
      <c r="W65" s="510"/>
      <c r="X65" s="512"/>
      <c r="Y65" s="510"/>
      <c r="Z65" s="510"/>
      <c r="AA65" s="507"/>
      <c r="AB65" s="507"/>
      <c r="AC65" s="510"/>
      <c r="AD65" s="510"/>
      <c r="AE65" s="510"/>
      <c r="AF65" s="513"/>
    </row>
    <row r="66" spans="17:32" ht="19.5" customHeight="1">
      <c r="Q66" s="510"/>
      <c r="R66" s="510"/>
      <c r="S66" s="507"/>
      <c r="T66" s="416"/>
      <c r="U66" s="510"/>
      <c r="V66" s="510"/>
      <c r="W66" s="510"/>
      <c r="X66" s="512"/>
      <c r="Y66" s="510"/>
      <c r="Z66" s="510"/>
      <c r="AA66" s="507"/>
      <c r="AB66" s="507"/>
      <c r="AC66" s="510"/>
      <c r="AD66" s="510"/>
      <c r="AE66" s="510"/>
      <c r="AF66" s="513"/>
    </row>
    <row r="67" spans="17:32" ht="19.5" customHeight="1">
      <c r="Q67" s="510"/>
      <c r="R67" s="510"/>
      <c r="S67" s="507"/>
      <c r="T67" s="507"/>
      <c r="U67" s="510"/>
      <c r="V67" s="510"/>
      <c r="W67" s="510"/>
      <c r="X67" s="512"/>
      <c r="Y67" s="510"/>
      <c r="Z67" s="504" t="s">
        <v>255</v>
      </c>
      <c r="AA67" s="521">
        <f>AA71*AA51</f>
        <v>125.56141141658088</v>
      </c>
      <c r="AB67" s="523" t="s">
        <v>256</v>
      </c>
      <c r="AC67" s="522">
        <f>AC71*AA51</f>
        <v>478.70288102571465</v>
      </c>
      <c r="AD67" s="510"/>
      <c r="AE67" s="510"/>
      <c r="AF67" s="513"/>
    </row>
    <row r="68" spans="17:32" ht="19.5" customHeight="1">
      <c r="Q68" s="510"/>
      <c r="R68" s="510"/>
      <c r="S68" s="416"/>
      <c r="T68" s="507"/>
      <c r="U68" s="510"/>
      <c r="V68" s="510"/>
      <c r="W68" s="510"/>
      <c r="X68" s="512"/>
      <c r="Y68" s="510"/>
      <c r="Z68" s="510"/>
      <c r="AA68" s="507"/>
      <c r="AB68" s="507"/>
      <c r="AC68" s="510"/>
      <c r="AD68" s="510"/>
      <c r="AE68" s="510"/>
      <c r="AF68" s="513"/>
    </row>
    <row r="69" spans="17:32" ht="19.5" customHeight="1">
      <c r="Q69" s="510"/>
      <c r="R69" s="510"/>
      <c r="S69" s="511"/>
      <c r="T69" s="507"/>
      <c r="U69" s="510"/>
      <c r="V69" s="510"/>
      <c r="W69" s="510"/>
      <c r="X69" s="512"/>
      <c r="Y69" s="510"/>
      <c r="Z69" s="504" t="s">
        <v>257</v>
      </c>
      <c r="AA69" s="521">
        <f>AA71+AA72-AA73</f>
        <v>153.51179397308468</v>
      </c>
      <c r="AB69" s="523" t="s">
        <v>258</v>
      </c>
      <c r="AC69" s="522">
        <f>AC71+AC72-AC73</f>
        <v>525.7700500401183</v>
      </c>
      <c r="AD69" s="510"/>
      <c r="AE69" s="510"/>
      <c r="AF69" s="513"/>
    </row>
    <row r="70" spans="17:32" ht="19.5" customHeight="1">
      <c r="Q70" s="510"/>
      <c r="R70" s="510"/>
      <c r="S70" s="511"/>
      <c r="T70" s="507"/>
      <c r="U70" s="510"/>
      <c r="V70" s="510"/>
      <c r="W70" s="510"/>
      <c r="X70" s="512"/>
      <c r="Y70" s="510"/>
      <c r="Z70" s="510"/>
      <c r="AA70" s="507"/>
      <c r="AB70" s="754" t="s">
        <v>591</v>
      </c>
      <c r="AC70" s="755">
        <f>TAN(20*PI()/180)</f>
        <v>0.36397023426620234</v>
      </c>
      <c r="AE70" s="510"/>
      <c r="AF70" s="513"/>
    </row>
    <row r="71" spans="17:32" ht="19.5" customHeight="1">
      <c r="Q71" s="510"/>
      <c r="R71" s="510"/>
      <c r="S71" s="416"/>
      <c r="T71" s="507"/>
      <c r="U71" s="510"/>
      <c r="V71" s="510"/>
      <c r="W71" s="510"/>
      <c r="X71" s="512"/>
      <c r="Y71" s="510"/>
      <c r="Z71" s="504" t="s">
        <v>260</v>
      </c>
      <c r="AA71" s="521">
        <f>AA58*AA57</f>
        <v>133.6196631102286</v>
      </c>
      <c r="AB71" s="523" t="s">
        <v>261</v>
      </c>
      <c r="AC71" s="522">
        <f>AA58*AD57</f>
        <v>509.42496560774657</v>
      </c>
      <c r="AD71" s="510"/>
      <c r="AE71" s="510"/>
      <c r="AF71" s="513"/>
    </row>
    <row r="72" spans="17:32" ht="19.5" customHeight="1">
      <c r="Q72" s="510"/>
      <c r="R72" s="510"/>
      <c r="S72" s="511"/>
      <c r="T72" s="507"/>
      <c r="U72" s="510"/>
      <c r="V72" s="510"/>
      <c r="W72" s="510"/>
      <c r="X72" s="512"/>
      <c r="Y72" s="510"/>
      <c r="Z72" s="750" t="s">
        <v>559</v>
      </c>
      <c r="AA72" s="751">
        <f>6!D31</f>
        <v>149.89834708470093</v>
      </c>
      <c r="AB72" s="750" t="s">
        <v>560</v>
      </c>
      <c r="AC72" s="751">
        <f>6!E31</f>
        <v>511.99378377815515</v>
      </c>
      <c r="AD72" s="510"/>
      <c r="AE72" s="510"/>
      <c r="AF72" s="513"/>
    </row>
    <row r="73" spans="17:32" ht="19.5" customHeight="1">
      <c r="Q73" s="510"/>
      <c r="R73" s="510"/>
      <c r="S73" s="416"/>
      <c r="T73" s="507"/>
      <c r="U73" s="510"/>
      <c r="V73" s="510"/>
      <c r="W73" s="510"/>
      <c r="X73" s="512"/>
      <c r="Y73" s="510"/>
      <c r="Z73" s="750" t="s">
        <v>561</v>
      </c>
      <c r="AA73" s="751">
        <f>6!D30</f>
        <v>130.00621622184482</v>
      </c>
      <c r="AB73" s="750" t="s">
        <v>562</v>
      </c>
      <c r="AC73" s="751">
        <f>6!E30</f>
        <v>495.64869934578337</v>
      </c>
      <c r="AD73" s="510"/>
      <c r="AE73" s="510"/>
      <c r="AF73" s="513"/>
    </row>
    <row r="74" spans="17:32" ht="19.5" customHeight="1">
      <c r="Q74" s="510"/>
      <c r="R74" s="510"/>
      <c r="S74" s="511"/>
      <c r="T74" s="507"/>
      <c r="U74" s="510"/>
      <c r="V74" s="510"/>
      <c r="W74" s="510"/>
      <c r="X74" s="512"/>
      <c r="Y74" s="510"/>
      <c r="Z74" s="750" t="s">
        <v>564</v>
      </c>
      <c r="AA74" s="751">
        <f>6!D29</f>
        <v>0.25</v>
      </c>
      <c r="AB74" s="750" t="s">
        <v>563</v>
      </c>
      <c r="AC74" s="752">
        <f>6!E29</f>
        <v>0.028309598094730992</v>
      </c>
      <c r="AD74" s="510"/>
      <c r="AE74" s="510"/>
      <c r="AF74" s="513"/>
    </row>
    <row r="75" spans="17:32" ht="19.5" customHeight="1">
      <c r="Q75" s="510"/>
      <c r="R75" s="510"/>
      <c r="S75" s="416"/>
      <c r="T75" s="507"/>
      <c r="U75" s="510"/>
      <c r="V75" s="510"/>
      <c r="W75" s="510"/>
      <c r="X75" s="512"/>
      <c r="Y75" s="510"/>
      <c r="Z75" s="535" t="s">
        <v>265</v>
      </c>
      <c r="AA75" s="521">
        <f>1/AA57*(PI()/2+2*AA74*AC70)+AA77-AA78</f>
        <v>0.029453116396141635</v>
      </c>
      <c r="AB75" s="591" t="s">
        <v>266</v>
      </c>
      <c r="AC75" s="522">
        <f>1/AD57*(PI()/2+2*AC74*AC70)+AA77-AC78</f>
        <v>0.012034236547508133</v>
      </c>
      <c r="AD75" s="510"/>
      <c r="AE75" s="510"/>
      <c r="AF75" s="513"/>
    </row>
    <row r="76" spans="17:32" ht="19.5" customHeight="1">
      <c r="Q76" s="510"/>
      <c r="R76" s="510"/>
      <c r="S76" s="511"/>
      <c r="T76" s="507"/>
      <c r="U76" s="510"/>
      <c r="V76" s="510"/>
      <c r="W76" s="510"/>
      <c r="X76" s="512"/>
      <c r="Y76" s="510"/>
      <c r="Z76" s="510"/>
      <c r="AA76" s="507"/>
      <c r="AB76" s="507"/>
      <c r="AC76" s="510"/>
      <c r="AD76" s="510"/>
      <c r="AE76" s="510"/>
      <c r="AF76" s="513"/>
    </row>
    <row r="77" spans="17:32" ht="19.5" customHeight="1">
      <c r="Q77" s="510"/>
      <c r="R77" s="510"/>
      <c r="S77" s="511"/>
      <c r="T77" s="507"/>
      <c r="U77" s="510"/>
      <c r="V77" s="510"/>
      <c r="W77" s="510"/>
      <c r="X77" s="512"/>
      <c r="Y77" s="510"/>
      <c r="Z77" s="522" t="s">
        <v>267</v>
      </c>
      <c r="AA77" s="525">
        <f>AC70-(PI()*20/180)</f>
        <v>0.014904383867336446</v>
      </c>
      <c r="AB77" s="507"/>
      <c r="AC77" s="510"/>
      <c r="AD77" s="510"/>
      <c r="AE77" s="510"/>
      <c r="AF77" s="513"/>
    </row>
    <row r="78" spans="17:32" ht="19.5" customHeight="1">
      <c r="Q78" s="510"/>
      <c r="R78" s="510"/>
      <c r="S78" s="511"/>
      <c r="T78" s="416"/>
      <c r="U78" s="510"/>
      <c r="V78" s="510"/>
      <c r="W78" s="510"/>
      <c r="X78" s="512"/>
      <c r="Y78" s="510"/>
      <c r="Z78" s="522" t="s">
        <v>268</v>
      </c>
      <c r="AA78" s="525">
        <f>TAN(AA62)-AA62</f>
        <v>0.09039279497569408</v>
      </c>
      <c r="AB78" s="523" t="s">
        <v>269</v>
      </c>
      <c r="AC78" s="524">
        <f>TAN(AD62)-AD62</f>
        <v>0.027861526012820104</v>
      </c>
      <c r="AD78" s="510"/>
      <c r="AE78" s="510"/>
      <c r="AF78" s="513"/>
    </row>
    <row r="79" spans="17:32" ht="19.5" customHeight="1">
      <c r="Q79" s="510"/>
      <c r="R79" s="510"/>
      <c r="S79" s="511"/>
      <c r="T79" s="507"/>
      <c r="U79" s="510"/>
      <c r="V79" s="510"/>
      <c r="W79" s="510"/>
      <c r="X79" s="512"/>
      <c r="Y79" s="510"/>
      <c r="Z79" s="510"/>
      <c r="AA79" s="507"/>
      <c r="AB79" s="507"/>
      <c r="AC79" s="510"/>
      <c r="AD79" s="510"/>
      <c r="AE79" s="510"/>
      <c r="AF79" s="513"/>
    </row>
    <row r="80" spans="17:32" ht="19.5" customHeight="1">
      <c r="Q80" s="510"/>
      <c r="R80" s="510"/>
      <c r="S80" s="511"/>
      <c r="U80" s="510"/>
      <c r="V80" s="510"/>
      <c r="W80" s="510"/>
      <c r="X80" s="512"/>
      <c r="Y80" s="510"/>
      <c r="Z80" s="510"/>
      <c r="AA80" s="507"/>
      <c r="AB80" s="507"/>
      <c r="AC80" s="510"/>
      <c r="AD80" s="510"/>
      <c r="AE80" s="510"/>
      <c r="AF80" s="513"/>
    </row>
    <row r="81" spans="17:32" ht="19.5" customHeight="1">
      <c r="Q81" s="510"/>
      <c r="R81" s="510"/>
      <c r="S81" s="416"/>
      <c r="T81" s="507"/>
      <c r="U81" s="510"/>
      <c r="V81" s="510"/>
      <c r="W81" s="510"/>
      <c r="X81" s="512"/>
      <c r="Y81" s="510"/>
      <c r="Z81" s="510"/>
      <c r="AA81" s="507"/>
      <c r="AB81" s="507"/>
      <c r="AC81" s="510"/>
      <c r="AD81" s="510"/>
      <c r="AE81" s="510"/>
      <c r="AF81" s="513"/>
    </row>
    <row r="82" spans="17:32" ht="19.5" customHeight="1">
      <c r="Q82" s="510"/>
      <c r="R82" s="510"/>
      <c r="T82" s="526" t="str">
        <f>H22</f>
        <v>Yük dağılma faktörü</v>
      </c>
      <c r="U82" s="527"/>
      <c r="V82" s="528" t="s">
        <v>56</v>
      </c>
      <c r="W82" s="510"/>
      <c r="X82" s="512"/>
      <c r="AA82" s="507"/>
      <c r="AE82" s="510"/>
      <c r="AF82" s="513"/>
    </row>
    <row r="83" spans="17:32" ht="19.5" customHeight="1" thickBot="1">
      <c r="Q83" s="510"/>
      <c r="R83" s="510"/>
      <c r="S83" s="511"/>
      <c r="T83" s="507"/>
      <c r="U83" s="510"/>
      <c r="V83" s="510"/>
      <c r="W83" s="529" t="s">
        <v>270</v>
      </c>
      <c r="X83" s="730">
        <f>E7</f>
        <v>30399.928932956413</v>
      </c>
      <c r="Y83" s="750" t="s">
        <v>271</v>
      </c>
      <c r="Z83" s="751">
        <f>6!E9</f>
        <v>140</v>
      </c>
      <c r="AA83" s="507"/>
      <c r="AB83" s="507"/>
      <c r="AC83" s="510"/>
      <c r="AD83" s="510"/>
      <c r="AE83" s="510"/>
      <c r="AF83" s="513"/>
    </row>
    <row r="84" spans="17:32" ht="19.5" customHeight="1" thickBot="1">
      <c r="Q84" s="510"/>
      <c r="R84" s="510"/>
      <c r="S84" s="511"/>
      <c r="T84" s="507"/>
      <c r="U84" s="510"/>
      <c r="V84" s="510"/>
      <c r="W84" s="504" t="s">
        <v>272</v>
      </c>
      <c r="X84" s="537">
        <f>X83*AA94*AD94</f>
        <v>46702.75202227867</v>
      </c>
      <c r="AA84" s="507"/>
      <c r="AB84" s="507"/>
      <c r="AC84" s="530" t="s">
        <v>273</v>
      </c>
      <c r="AD84" s="531">
        <f>IF(Y86&gt;2,Y86,IF(Y90&lt;2,Y90,"?"))</f>
        <v>1.7965011628299614</v>
      </c>
      <c r="AE84" s="520"/>
      <c r="AF84" s="532"/>
    </row>
    <row r="85" spans="17:32" ht="19.5" customHeight="1">
      <c r="Q85" s="510"/>
      <c r="R85" s="510"/>
      <c r="S85" s="511"/>
      <c r="T85" s="521" t="s">
        <v>274</v>
      </c>
      <c r="U85" s="510"/>
      <c r="V85" s="510"/>
      <c r="W85" s="510"/>
      <c r="X85" s="512"/>
      <c r="Y85" s="504"/>
      <c r="Z85" s="522"/>
      <c r="AA85" s="507"/>
      <c r="AB85" s="507"/>
      <c r="AC85" s="510"/>
      <c r="AD85" s="510"/>
      <c r="AE85" s="520"/>
      <c r="AF85" s="532"/>
    </row>
    <row r="86" spans="17:32" ht="19.5" customHeight="1">
      <c r="Q86" s="510"/>
      <c r="R86" s="510"/>
      <c r="S86" s="511"/>
      <c r="T86" s="507"/>
      <c r="U86" s="510"/>
      <c r="X86" s="533" t="s">
        <v>275</v>
      </c>
      <c r="Y86" s="534">
        <f>2*(10*W89/(X84/Z83))^0.5</f>
        <v>1.7849382766134647</v>
      </c>
      <c r="AB86" s="507"/>
      <c r="AC86" s="1"/>
      <c r="AD86" s="510"/>
      <c r="AE86" s="520"/>
      <c r="AF86" s="532"/>
    </row>
    <row r="87" spans="17:32" ht="19.5" customHeight="1">
      <c r="Q87" s="510"/>
      <c r="R87" s="510"/>
      <c r="S87" s="511"/>
      <c r="T87" s="507"/>
      <c r="U87" s="510"/>
      <c r="V87" s="504"/>
      <c r="W87" s="522"/>
      <c r="X87" s="533"/>
      <c r="Y87" s="534"/>
      <c r="Z87" s="1"/>
      <c r="AA87" s="1"/>
      <c r="AB87" s="507"/>
      <c r="AC87" s="1"/>
      <c r="AD87" s="510"/>
      <c r="AE87" s="520"/>
      <c r="AF87" s="532"/>
    </row>
    <row r="88" spans="17:32" ht="19.5" customHeight="1">
      <c r="Q88" s="510"/>
      <c r="R88" s="510"/>
      <c r="S88" s="511"/>
      <c r="T88" s="507"/>
      <c r="U88" s="510"/>
      <c r="V88" s="510"/>
      <c r="Z88" s="1"/>
      <c r="AA88" s="1"/>
      <c r="AC88" s="1"/>
      <c r="AD88" s="510"/>
      <c r="AE88" s="520"/>
      <c r="AF88" s="532"/>
    </row>
    <row r="89" spans="17:32" ht="19.5" customHeight="1">
      <c r="Q89" s="510"/>
      <c r="R89" s="510"/>
      <c r="S89" s="511"/>
      <c r="T89" s="521" t="s">
        <v>276</v>
      </c>
      <c r="U89" s="510"/>
      <c r="V89" s="504" t="s">
        <v>277</v>
      </c>
      <c r="W89" s="522">
        <f>AB122</f>
        <v>26.570568780788776</v>
      </c>
      <c r="Z89" s="1"/>
      <c r="AA89" s="1"/>
      <c r="AB89" s="507"/>
      <c r="AC89" s="1"/>
      <c r="AD89" s="510"/>
      <c r="AE89" s="510"/>
      <c r="AF89" s="513"/>
    </row>
    <row r="90" spans="17:32" ht="19.5" customHeight="1">
      <c r="Q90" s="510"/>
      <c r="R90" s="510"/>
      <c r="T90" s="507"/>
      <c r="U90" s="357"/>
      <c r="V90" s="504"/>
      <c r="W90" s="522"/>
      <c r="X90" s="533" t="s">
        <v>278</v>
      </c>
      <c r="Y90" s="534">
        <f>1+10*W89/(X84/Z83)</f>
        <v>1.7965011628299614</v>
      </c>
      <c r="Z90" s="1"/>
      <c r="AA90" s="1"/>
      <c r="AC90" s="1"/>
      <c r="AD90" s="510"/>
      <c r="AE90" s="510"/>
      <c r="AF90" s="513"/>
    </row>
    <row r="91" spans="17:32" ht="19.5" customHeight="1">
      <c r="Q91" s="510"/>
      <c r="R91" s="510"/>
      <c r="S91" s="511"/>
      <c r="T91" s="507"/>
      <c r="U91" s="510"/>
      <c r="V91" s="504"/>
      <c r="W91" s="522"/>
      <c r="X91" s="533"/>
      <c r="Y91" s="534"/>
      <c r="Z91" s="1"/>
      <c r="AA91" s="1"/>
      <c r="AB91" s="507"/>
      <c r="AC91" s="1"/>
      <c r="AD91" s="510"/>
      <c r="AE91" s="510"/>
      <c r="AF91" s="513"/>
    </row>
    <row r="92" spans="17:32" ht="19.5" customHeight="1">
      <c r="Q92" s="510"/>
      <c r="R92" s="510"/>
      <c r="S92" s="511"/>
      <c r="T92" s="507"/>
      <c r="U92" s="510"/>
      <c r="V92" s="510"/>
      <c r="Z92" s="1"/>
      <c r="AA92" s="1"/>
      <c r="AB92" s="507"/>
      <c r="AC92" s="510"/>
      <c r="AD92" s="510"/>
      <c r="AE92" s="510"/>
      <c r="AF92" s="513"/>
    </row>
    <row r="93" spans="17:32" ht="19.5" customHeight="1" thickBot="1">
      <c r="Q93" s="510"/>
      <c r="R93" s="510"/>
      <c r="S93" s="511"/>
      <c r="T93" s="507"/>
      <c r="U93" s="510"/>
      <c r="V93" s="510"/>
      <c r="Y93" s="1"/>
      <c r="AB93" s="507"/>
      <c r="AC93" s="510"/>
      <c r="AD93" s="510"/>
      <c r="AE93" s="510"/>
      <c r="AF93" s="513"/>
    </row>
    <row r="94" spans="17:32" ht="19.5" customHeight="1" thickBot="1">
      <c r="Q94" s="510"/>
      <c r="R94" s="510"/>
      <c r="S94" s="511"/>
      <c r="T94" s="727" t="s">
        <v>553</v>
      </c>
      <c r="U94" s="510"/>
      <c r="V94" s="510"/>
      <c r="W94" s="510"/>
      <c r="X94" s="512"/>
      <c r="Z94" s="754" t="s">
        <v>279</v>
      </c>
      <c r="AA94" s="755">
        <f>'11'!O7</f>
        <v>1.5</v>
      </c>
      <c r="AB94" s="507"/>
      <c r="AC94" s="530" t="s">
        <v>280</v>
      </c>
      <c r="AD94" s="531">
        <f>IF(Y103&gt;1,AA100,AA97)</f>
        <v>1.0241855526543342</v>
      </c>
      <c r="AE94" s="510"/>
      <c r="AF94" s="513"/>
    </row>
    <row r="95" spans="17:32" ht="19.5" customHeight="1">
      <c r="Q95" s="510"/>
      <c r="R95" s="510"/>
      <c r="S95" s="511"/>
      <c r="U95" s="510"/>
      <c r="V95" s="510"/>
      <c r="W95" s="510"/>
      <c r="X95" s="512"/>
      <c r="Y95" s="510"/>
      <c r="Z95" s="510"/>
      <c r="AA95" s="507"/>
      <c r="AB95" s="507"/>
      <c r="AC95" s="510"/>
      <c r="AD95" s="510"/>
      <c r="AE95" s="510"/>
      <c r="AF95" s="513"/>
    </row>
    <row r="96" spans="17:32" ht="19.5" customHeight="1">
      <c r="Q96" s="510"/>
      <c r="R96" s="510"/>
      <c r="S96" s="507"/>
      <c r="T96" s="416"/>
      <c r="U96" s="510"/>
      <c r="V96" s="510"/>
      <c r="W96" s="510"/>
      <c r="X96" s="510"/>
      <c r="Y96" s="510"/>
      <c r="Z96" s="510"/>
      <c r="AA96" s="507"/>
      <c r="AB96" s="507"/>
      <c r="AC96" s="510"/>
      <c r="AD96" s="510"/>
      <c r="AE96" s="510"/>
      <c r="AF96" s="513"/>
    </row>
    <row r="97" spans="17:32" ht="19.5" customHeight="1">
      <c r="Q97" s="510"/>
      <c r="R97" s="510"/>
      <c r="T97" s="507"/>
      <c r="U97" s="510"/>
      <c r="V97" s="510"/>
      <c r="W97" s="510"/>
      <c r="X97" s="510"/>
      <c r="Y97" s="510"/>
      <c r="Z97" s="504" t="s">
        <v>281</v>
      </c>
      <c r="AA97" s="521">
        <f>1+(1.123*AA108/AA94/(X83/AA105)+0.0193)*AA103</f>
        <v>1.0272425478493754</v>
      </c>
      <c r="AB97" s="507"/>
      <c r="AC97" s="510"/>
      <c r="AD97" s="510"/>
      <c r="AE97" s="510"/>
      <c r="AF97" s="513"/>
    </row>
    <row r="98" spans="17:32" ht="19.5" customHeight="1">
      <c r="Q98" s="510"/>
      <c r="R98" s="510"/>
      <c r="S98" s="507"/>
      <c r="T98" s="727" t="s">
        <v>358</v>
      </c>
      <c r="U98" s="510"/>
      <c r="V98" s="510"/>
      <c r="W98" s="510"/>
      <c r="X98" s="510"/>
      <c r="Y98" s="510"/>
      <c r="Z98" s="510"/>
      <c r="AA98" s="521"/>
      <c r="AB98" s="507"/>
      <c r="AC98" s="510"/>
      <c r="AD98" s="510"/>
      <c r="AE98" s="510"/>
      <c r="AF98" s="513"/>
    </row>
    <row r="99" spans="17:32" ht="19.5" customHeight="1">
      <c r="Q99" s="510"/>
      <c r="R99" s="510"/>
      <c r="S99" s="507"/>
      <c r="T99" s="507"/>
      <c r="U99" s="510"/>
      <c r="V99" s="510"/>
      <c r="W99" s="510"/>
      <c r="X99" s="510"/>
      <c r="Y99" s="510"/>
      <c r="Z99" s="510"/>
      <c r="AA99" s="521"/>
      <c r="AB99" s="507"/>
      <c r="AC99" s="510"/>
      <c r="AD99" s="510"/>
      <c r="AE99" s="510"/>
      <c r="AF99" s="513"/>
    </row>
    <row r="100" spans="17:32" ht="19.5" customHeight="1">
      <c r="Q100" s="510"/>
      <c r="R100" s="510"/>
      <c r="T100" s="416"/>
      <c r="U100" s="510"/>
      <c r="V100" s="510"/>
      <c r="W100" s="510"/>
      <c r="X100" s="510"/>
      <c r="Y100" s="510"/>
      <c r="Z100" s="504" t="s">
        <v>282</v>
      </c>
      <c r="AA100" s="521">
        <f>1+(1.123*AA108/AA94/(X83/AA105)+0.0087)*AA103</f>
        <v>1.0241855526543342</v>
      </c>
      <c r="AB100" s="507"/>
      <c r="AC100" s="510"/>
      <c r="AD100" s="510"/>
      <c r="AE100" s="510"/>
      <c r="AF100" s="513"/>
    </row>
    <row r="101" spans="17:32" ht="19.5" customHeight="1">
      <c r="Q101" s="510"/>
      <c r="R101" s="510"/>
      <c r="S101" s="507"/>
      <c r="T101" s="507"/>
      <c r="U101" s="510"/>
      <c r="V101" s="510"/>
      <c r="W101" s="510"/>
      <c r="X101" s="510"/>
      <c r="Y101" s="510"/>
      <c r="Z101" s="510"/>
      <c r="AA101" s="521"/>
      <c r="AB101" s="507"/>
      <c r="AC101" s="510"/>
      <c r="AD101" s="510"/>
      <c r="AE101" s="510"/>
      <c r="AF101" s="513"/>
    </row>
    <row r="102" spans="17:32" ht="19.5" customHeight="1">
      <c r="Q102" s="510"/>
      <c r="R102" s="510"/>
      <c r="S102" s="507"/>
      <c r="T102" s="507"/>
      <c r="U102" s="510"/>
      <c r="V102" s="510"/>
      <c r="W102" s="510"/>
      <c r="Z102" s="510"/>
      <c r="AA102" s="521"/>
      <c r="AB102" s="507"/>
      <c r="AC102" s="510"/>
      <c r="AD102" s="510"/>
      <c r="AE102" s="510"/>
      <c r="AF102" s="513"/>
    </row>
    <row r="103" spans="17:32" ht="19.5" customHeight="1">
      <c r="Q103" s="510"/>
      <c r="R103" s="510"/>
      <c r="S103" s="507"/>
      <c r="T103" s="416"/>
      <c r="U103" s="510"/>
      <c r="V103" s="510"/>
      <c r="W103" s="510"/>
      <c r="X103" s="753" t="s">
        <v>565</v>
      </c>
      <c r="Y103" s="751">
        <f>6!D10</f>
        <v>10.0787</v>
      </c>
      <c r="Z103" s="769" t="s">
        <v>284</v>
      </c>
      <c r="AA103" s="755">
        <f>0.01*1!F11*Y105*(AD103^2/(1+AD103^2))^0.5</f>
        <v>0.2883957731171022</v>
      </c>
      <c r="AB103" s="507"/>
      <c r="AC103" s="504" t="s">
        <v>286</v>
      </c>
      <c r="AD103" s="522">
        <f>K10</f>
        <v>3.8125</v>
      </c>
      <c r="AE103" s="510"/>
      <c r="AF103" s="513"/>
    </row>
    <row r="104" spans="17:32" ht="19.5" customHeight="1">
      <c r="Q104" s="510"/>
      <c r="R104" s="510"/>
      <c r="S104" s="507"/>
      <c r="T104" s="507"/>
      <c r="U104" s="510"/>
      <c r="V104" s="510"/>
      <c r="W104" s="510"/>
      <c r="X104" s="750" t="s">
        <v>575</v>
      </c>
      <c r="Y104" s="751">
        <f>6!D6</f>
        <v>16</v>
      </c>
      <c r="Z104" s="510"/>
      <c r="AA104" s="507"/>
      <c r="AB104" s="507"/>
      <c r="AC104" s="510"/>
      <c r="AD104" s="510"/>
      <c r="AE104" s="510"/>
      <c r="AF104" s="513"/>
    </row>
    <row r="105" spans="17:32" ht="19.5" customHeight="1">
      <c r="Q105" s="510"/>
      <c r="R105" s="510"/>
      <c r="S105" s="507"/>
      <c r="T105" s="536"/>
      <c r="U105" s="537"/>
      <c r="V105" s="536"/>
      <c r="W105" s="537"/>
      <c r="X105" s="773" t="s">
        <v>285</v>
      </c>
      <c r="Y105" s="768">
        <f>Y106/60/10^3*PI()*AA73</f>
        <v>2.484594990638286</v>
      </c>
      <c r="Z105" s="754" t="s">
        <v>271</v>
      </c>
      <c r="AA105" s="755">
        <f>Z83</f>
        <v>140</v>
      </c>
      <c r="AD105" s="504"/>
      <c r="AE105" s="510"/>
      <c r="AF105" s="513"/>
    </row>
    <row r="106" spans="17:32" ht="19.5" customHeight="1">
      <c r="Q106" s="510"/>
      <c r="R106" s="510"/>
      <c r="S106" s="507"/>
      <c r="T106" s="507"/>
      <c r="U106" s="510"/>
      <c r="V106" s="510"/>
      <c r="W106" s="148"/>
      <c r="X106" s="789" t="s">
        <v>576</v>
      </c>
      <c r="Y106" s="522">
        <f>1!G5</f>
        <v>365</v>
      </c>
      <c r="Z106" s="510" t="s">
        <v>577</v>
      </c>
      <c r="AA106" s="507"/>
      <c r="AB106" s="507"/>
      <c r="AC106" s="510"/>
      <c r="AD106" s="504"/>
      <c r="AE106" s="510"/>
      <c r="AF106" s="513"/>
    </row>
    <row r="107" spans="17:32" ht="19.5" customHeight="1">
      <c r="Q107" s="510"/>
      <c r="R107" s="510"/>
      <c r="S107" s="507"/>
      <c r="T107" s="507"/>
      <c r="U107" s="510"/>
      <c r="V107" s="510"/>
      <c r="W107" s="148"/>
      <c r="X107" s="148"/>
      <c r="Y107" s="148"/>
      <c r="Z107" s="148"/>
      <c r="AA107" s="148"/>
      <c r="AB107" s="507"/>
      <c r="AC107" s="510"/>
      <c r="AD107" s="510"/>
      <c r="AE107" s="510"/>
      <c r="AF107" s="513"/>
    </row>
    <row r="108" spans="17:32" ht="19.5" customHeight="1">
      <c r="Q108" s="510"/>
      <c r="R108" s="510"/>
      <c r="S108" s="507"/>
      <c r="T108" s="507"/>
      <c r="U108" s="510"/>
      <c r="V108" s="510"/>
      <c r="W108" s="771" t="s">
        <v>3</v>
      </c>
      <c r="X108" s="772">
        <f>1!O22</f>
        <v>8</v>
      </c>
      <c r="Y108" s="510"/>
      <c r="Z108" s="504" t="s">
        <v>287</v>
      </c>
      <c r="AA108" s="521">
        <f>IF(X108&lt;6.5,V110,IF(X108&lt;7.5,W110,IF(X108&lt;8.5,X110,IF(X108&lt;9.5,Y110,IF(X108&lt;10.5,Z110,IF(X108&lt;11.5,AA110,AB110))))))</f>
        <v>21.8</v>
      </c>
      <c r="AB108" s="507"/>
      <c r="AC108" s="510"/>
      <c r="AD108" s="510"/>
      <c r="AE108" s="510"/>
      <c r="AF108" s="513"/>
    </row>
    <row r="109" spans="17:32" ht="19.5" customHeight="1">
      <c r="Q109" s="510"/>
      <c r="R109" s="510"/>
      <c r="S109" s="507"/>
      <c r="T109" s="880" t="s">
        <v>288</v>
      </c>
      <c r="U109" s="880"/>
      <c r="V109" s="437">
        <v>6</v>
      </c>
      <c r="W109" s="545">
        <v>7</v>
      </c>
      <c r="X109" s="545">
        <v>8</v>
      </c>
      <c r="Y109" s="437">
        <v>9</v>
      </c>
      <c r="Z109" s="437">
        <v>10</v>
      </c>
      <c r="AA109" s="538">
        <v>11</v>
      </c>
      <c r="AB109" s="539">
        <v>12</v>
      </c>
      <c r="AC109" s="510"/>
      <c r="AD109" s="510"/>
      <c r="AE109" s="510"/>
      <c r="AF109" s="513"/>
    </row>
    <row r="110" spans="17:32" ht="19.5" customHeight="1">
      <c r="Q110" s="510"/>
      <c r="R110" s="510"/>
      <c r="S110" s="507"/>
      <c r="T110" s="880" t="s">
        <v>289</v>
      </c>
      <c r="U110" s="880"/>
      <c r="V110" s="437">
        <v>8.5</v>
      </c>
      <c r="W110" s="437">
        <v>13.6</v>
      </c>
      <c r="X110" s="437">
        <v>21.8</v>
      </c>
      <c r="Y110" s="437">
        <v>30.7</v>
      </c>
      <c r="Z110" s="437">
        <v>47.7</v>
      </c>
      <c r="AA110" s="538">
        <v>68.2</v>
      </c>
      <c r="AB110" s="539">
        <v>109.1</v>
      </c>
      <c r="AC110" s="510"/>
      <c r="AD110" s="510"/>
      <c r="AE110" s="510"/>
      <c r="AF110" s="513"/>
    </row>
    <row r="111" spans="17:32" ht="19.5" customHeight="1">
      <c r="Q111" s="510"/>
      <c r="R111" s="510"/>
      <c r="S111" s="507"/>
      <c r="T111" s="507"/>
      <c r="U111" s="510"/>
      <c r="V111" s="510"/>
      <c r="W111" s="510"/>
      <c r="X111" s="510"/>
      <c r="Y111" s="510"/>
      <c r="Z111" s="510"/>
      <c r="AA111" s="507"/>
      <c r="AB111" s="507"/>
      <c r="AC111" s="510"/>
      <c r="AD111" s="510"/>
      <c r="AE111" s="510"/>
      <c r="AF111" s="513"/>
    </row>
    <row r="112" spans="17:32" ht="19.5" customHeight="1">
      <c r="Q112" s="510"/>
      <c r="R112" s="510"/>
      <c r="S112" s="507"/>
      <c r="T112" s="507"/>
      <c r="U112" s="510"/>
      <c r="V112" s="510"/>
      <c r="W112" s="504" t="s">
        <v>3</v>
      </c>
      <c r="X112" s="537">
        <f>X108</f>
        <v>8</v>
      </c>
      <c r="Y112" s="148"/>
      <c r="Z112" s="504" t="s">
        <v>290</v>
      </c>
      <c r="AA112" s="521">
        <f>IF(X112&lt;5.5,V114,IF(X112&lt;6.5,W114,IF(X112&lt;7.5,X114,IF(X112&lt;8.5,Y114,IF(X112&lt;9.5,Z114,IF(X112&lt;10.5,AA114,IF(X112&lt;11.5,AB114,AC114)))))))</f>
        <v>2.59</v>
      </c>
      <c r="AD112" s="510"/>
      <c r="AE112" s="510"/>
      <c r="AF112" s="513"/>
    </row>
    <row r="113" spans="17:32" ht="19.5" customHeight="1">
      <c r="Q113" s="510"/>
      <c r="R113" s="510"/>
      <c r="S113" s="507"/>
      <c r="T113" s="910" t="s">
        <v>288</v>
      </c>
      <c r="U113" s="929"/>
      <c r="V113" s="437">
        <v>5</v>
      </c>
      <c r="W113" s="437">
        <v>6</v>
      </c>
      <c r="X113" s="437">
        <v>7</v>
      </c>
      <c r="Y113" s="437">
        <v>8</v>
      </c>
      <c r="Z113" s="437">
        <v>9</v>
      </c>
      <c r="AA113" s="538">
        <v>10</v>
      </c>
      <c r="AB113" s="539">
        <v>11</v>
      </c>
      <c r="AC113" s="437">
        <v>12</v>
      </c>
      <c r="AD113" s="510"/>
      <c r="AE113" s="510"/>
      <c r="AF113" s="513"/>
    </row>
    <row r="114" spans="17:32" ht="19.5" customHeight="1">
      <c r="Q114" s="510"/>
      <c r="R114" s="510"/>
      <c r="S114" s="507"/>
      <c r="T114" s="910" t="s">
        <v>291</v>
      </c>
      <c r="U114" s="929"/>
      <c r="V114" s="540">
        <v>1</v>
      </c>
      <c r="W114" s="437">
        <v>1.32</v>
      </c>
      <c r="X114" s="437">
        <v>1.85</v>
      </c>
      <c r="Y114" s="437">
        <v>2.59</v>
      </c>
      <c r="Z114" s="437">
        <v>4.01</v>
      </c>
      <c r="AA114" s="538">
        <v>6.22</v>
      </c>
      <c r="AB114" s="539">
        <v>9.63</v>
      </c>
      <c r="AC114" s="437">
        <v>14.9</v>
      </c>
      <c r="AD114" s="510"/>
      <c r="AE114" s="510"/>
      <c r="AF114" s="513"/>
    </row>
    <row r="115" spans="17:32" ht="19.5" customHeight="1">
      <c r="Q115" s="510"/>
      <c r="R115" s="510"/>
      <c r="S115" s="507"/>
      <c r="W115" s="510"/>
      <c r="X115" s="510"/>
      <c r="Y115" s="510"/>
      <c r="AB115" s="507"/>
      <c r="AC115" s="510"/>
      <c r="AD115" s="510"/>
      <c r="AE115" s="510"/>
      <c r="AF115" s="513"/>
    </row>
    <row r="116" spans="17:32" ht="19.5" customHeight="1">
      <c r="Q116" s="510"/>
      <c r="R116" s="510"/>
      <c r="S116" s="507"/>
      <c r="W116" s="510"/>
      <c r="X116" s="510"/>
      <c r="Y116" s="510"/>
      <c r="AB116" s="507"/>
      <c r="AC116" s="510"/>
      <c r="AD116" s="510"/>
      <c r="AE116" s="510"/>
      <c r="AF116" s="513"/>
    </row>
    <row r="117" spans="17:32" ht="19.5" customHeight="1">
      <c r="Q117" s="510"/>
      <c r="R117" s="510"/>
      <c r="S117" s="507"/>
      <c r="W117" s="510"/>
      <c r="X117" s="510"/>
      <c r="Y117" s="510"/>
      <c r="AB117" s="507"/>
      <c r="AC117" s="510"/>
      <c r="AD117" s="510"/>
      <c r="AE117" s="510"/>
      <c r="AF117" s="513"/>
    </row>
    <row r="118" spans="17:32" ht="19.5" customHeight="1">
      <c r="Q118" s="510"/>
      <c r="R118" s="510"/>
      <c r="S118" s="507"/>
      <c r="W118" s="510"/>
      <c r="X118" s="510"/>
      <c r="Y118" s="510"/>
      <c r="AB118" s="507"/>
      <c r="AC118" s="510"/>
      <c r="AD118" s="510"/>
      <c r="AE118" s="510"/>
      <c r="AF118" s="513"/>
    </row>
    <row r="119" spans="17:32" ht="19.5" customHeight="1">
      <c r="Q119" s="510"/>
      <c r="R119" s="510"/>
      <c r="S119" s="507"/>
      <c r="W119" s="510"/>
      <c r="X119" s="510"/>
      <c r="Y119" s="510"/>
      <c r="AB119" s="507"/>
      <c r="AC119" s="510"/>
      <c r="AD119" s="510"/>
      <c r="AE119" s="510"/>
      <c r="AF119" s="513"/>
    </row>
    <row r="120" spans="17:32" ht="19.5" customHeight="1">
      <c r="Q120" s="510"/>
      <c r="R120" s="510"/>
      <c r="S120" s="507"/>
      <c r="T120" s="523" t="s">
        <v>292</v>
      </c>
      <c r="U120" s="510" t="s">
        <v>293</v>
      </c>
      <c r="V120" s="510"/>
      <c r="W120" s="754" t="s">
        <v>271</v>
      </c>
      <c r="X120" s="755">
        <f>Z83</f>
        <v>140</v>
      </c>
      <c r="Y120" s="510"/>
      <c r="AA120" s="504" t="s">
        <v>292</v>
      </c>
      <c r="AB120" s="521">
        <f>4.16*AA105^0.14*AA112</f>
        <v>21.520433715358877</v>
      </c>
      <c r="AC120" s="510"/>
      <c r="AD120" s="510"/>
      <c r="AE120" s="510"/>
      <c r="AF120" s="513"/>
    </row>
    <row r="121" spans="17:32" ht="19.5" customHeight="1">
      <c r="Q121" s="510"/>
      <c r="R121" s="510"/>
      <c r="S121" s="507"/>
      <c r="T121" s="523" t="s">
        <v>294</v>
      </c>
      <c r="U121" s="510" t="s">
        <v>295</v>
      </c>
      <c r="V121" s="510"/>
      <c r="W121" s="504" t="s">
        <v>296</v>
      </c>
      <c r="X121" s="521">
        <f>IF(Y123&lt;200,AD127,IF(Y123&lt;1000,AD129,AD131))</f>
        <v>11</v>
      </c>
      <c r="Y121" s="510"/>
      <c r="AA121" s="523" t="s">
        <v>294</v>
      </c>
      <c r="AB121" s="521">
        <f>AB120+1.33*X121</f>
        <v>36.15043371535888</v>
      </c>
      <c r="AC121" s="510"/>
      <c r="AD121" s="510"/>
      <c r="AE121" s="510"/>
      <c r="AF121" s="513"/>
    </row>
    <row r="122" spans="17:32" ht="19.5" customHeight="1">
      <c r="Q122" s="510"/>
      <c r="R122" s="510"/>
      <c r="S122" s="507"/>
      <c r="T122" s="523" t="s">
        <v>297</v>
      </c>
      <c r="U122" s="522" t="s">
        <v>298</v>
      </c>
      <c r="V122" s="541"/>
      <c r="W122" s="542" t="s">
        <v>299</v>
      </c>
      <c r="X122" s="543">
        <f>AE136</f>
        <v>9.579864934570104</v>
      </c>
      <c r="Y122" s="542" t="s">
        <v>300</v>
      </c>
      <c r="Z122" s="543">
        <f>AE137</f>
        <v>9.579864934570104</v>
      </c>
      <c r="AA122" s="504" t="s">
        <v>297</v>
      </c>
      <c r="AB122" s="521">
        <f>AB121-AE136</f>
        <v>26.570568780788776</v>
      </c>
      <c r="AC122" s="504"/>
      <c r="AD122" s="521"/>
      <c r="AE122" s="510"/>
      <c r="AF122" s="513"/>
    </row>
    <row r="123" spans="17:32" ht="19.5" customHeight="1">
      <c r="Q123" s="510"/>
      <c r="R123" s="510"/>
      <c r="S123" s="507"/>
      <c r="T123" s="504" t="s">
        <v>301</v>
      </c>
      <c r="U123" s="510" t="s">
        <v>302</v>
      </c>
      <c r="V123" s="510"/>
      <c r="X123" s="504" t="s">
        <v>303</v>
      </c>
      <c r="Y123" s="537">
        <f>X83/AA105</f>
        <v>217.14234952111724</v>
      </c>
      <c r="Z123" s="523"/>
      <c r="AA123" s="522"/>
      <c r="AB123" s="507"/>
      <c r="AC123" s="510"/>
      <c r="AD123" s="510"/>
      <c r="AE123" s="510"/>
      <c r="AF123" s="513"/>
    </row>
    <row r="124" spans="17:32" ht="19.5" customHeight="1">
      <c r="Q124" s="510"/>
      <c r="R124" s="510"/>
      <c r="S124" s="507"/>
      <c r="T124" s="942"/>
      <c r="U124" s="943"/>
      <c r="V124" s="944"/>
      <c r="W124" s="910" t="s">
        <v>304</v>
      </c>
      <c r="X124" s="935"/>
      <c r="Y124" s="935"/>
      <c r="Z124" s="935"/>
      <c r="AA124" s="935"/>
      <c r="AB124" s="935"/>
      <c r="AC124" s="929"/>
      <c r="AD124" s="510"/>
      <c r="AE124" s="510"/>
      <c r="AF124" s="513"/>
    </row>
    <row r="125" spans="17:32" ht="15" customHeight="1">
      <c r="Q125" s="510"/>
      <c r="R125" s="510"/>
      <c r="S125" s="507"/>
      <c r="T125" s="945"/>
      <c r="U125" s="946"/>
      <c r="V125" s="947"/>
      <c r="W125" s="880" t="s">
        <v>305</v>
      </c>
      <c r="X125" s="544" t="s">
        <v>306</v>
      </c>
      <c r="Y125" s="544" t="s">
        <v>307</v>
      </c>
      <c r="Z125" s="544" t="s">
        <v>308</v>
      </c>
      <c r="AA125" s="544" t="s">
        <v>309</v>
      </c>
      <c r="AB125" s="544" t="s">
        <v>310</v>
      </c>
      <c r="AC125" s="544" t="s">
        <v>311</v>
      </c>
      <c r="AD125" s="510"/>
      <c r="AE125" s="510"/>
      <c r="AF125" s="513"/>
    </row>
    <row r="126" spans="17:32" ht="15" customHeight="1">
      <c r="Q126" s="510"/>
      <c r="R126" s="510"/>
      <c r="S126" s="507"/>
      <c r="T126" s="945"/>
      <c r="U126" s="946"/>
      <c r="V126" s="947"/>
      <c r="W126" s="880"/>
      <c r="X126" s="545" t="s">
        <v>312</v>
      </c>
      <c r="Y126" s="545" t="s">
        <v>313</v>
      </c>
      <c r="Z126" s="545" t="s">
        <v>314</v>
      </c>
      <c r="AA126" s="545" t="s">
        <v>315</v>
      </c>
      <c r="AB126" s="545" t="s">
        <v>316</v>
      </c>
      <c r="AC126" s="545"/>
      <c r="AD126" s="510"/>
      <c r="AE126" s="510"/>
      <c r="AF126" s="513"/>
    </row>
    <row r="127" spans="17:32" ht="15" customHeight="1">
      <c r="Q127" s="510"/>
      <c r="R127" s="510"/>
      <c r="S127" s="507"/>
      <c r="T127" s="937" t="s">
        <v>317</v>
      </c>
      <c r="U127" s="938"/>
      <c r="V127" s="939"/>
      <c r="W127" s="940">
        <v>5</v>
      </c>
      <c r="X127" s="940" t="s">
        <v>318</v>
      </c>
      <c r="Y127" s="940">
        <v>7</v>
      </c>
      <c r="Z127" s="940">
        <v>8</v>
      </c>
      <c r="AA127" s="940">
        <v>10</v>
      </c>
      <c r="AB127" s="940">
        <v>12</v>
      </c>
      <c r="AC127" s="940">
        <v>16</v>
      </c>
      <c r="AD127" s="936">
        <f>IF($X$120&lt;20.1,W127,IF($X$120&lt;40.5,X127,IF($X$120&lt;100.5,Y127,IF($X$120&lt;260.5,Z127,IF($X$120&lt;315.5,AA127,IF($X$120&lt;560.5,AB127,AC127))))))</f>
        <v>8</v>
      </c>
      <c r="AE127" s="510"/>
      <c r="AF127" s="513"/>
    </row>
    <row r="128" spans="17:32" ht="15" customHeight="1">
      <c r="Q128" s="510"/>
      <c r="R128" s="510"/>
      <c r="S128" s="507"/>
      <c r="T128" s="937"/>
      <c r="U128" s="938"/>
      <c r="V128" s="939"/>
      <c r="W128" s="941"/>
      <c r="X128" s="941"/>
      <c r="Y128" s="941"/>
      <c r="Z128" s="941"/>
      <c r="AA128" s="941"/>
      <c r="AB128" s="941"/>
      <c r="AC128" s="941"/>
      <c r="AD128" s="936"/>
      <c r="AE128" s="510"/>
      <c r="AF128" s="513"/>
    </row>
    <row r="129" spans="17:32" ht="15" customHeight="1">
      <c r="Q129" s="510"/>
      <c r="R129" s="510"/>
      <c r="S129" s="507"/>
      <c r="T129" s="937" t="s">
        <v>319</v>
      </c>
      <c r="U129" s="938"/>
      <c r="V129" s="939"/>
      <c r="W129" s="940">
        <v>6</v>
      </c>
      <c r="X129" s="940">
        <v>7</v>
      </c>
      <c r="Y129" s="940">
        <v>8</v>
      </c>
      <c r="Z129" s="940">
        <v>11</v>
      </c>
      <c r="AA129" s="940">
        <v>14</v>
      </c>
      <c r="AB129" s="940">
        <v>18</v>
      </c>
      <c r="AC129" s="940">
        <v>24</v>
      </c>
      <c r="AD129" s="936">
        <f>IF($X$120&lt;20.1,W129,IF($X$120&lt;40.5,X129,IF($X$120&lt;100.5,Y129,IF($X$120&lt;260.5,Z129,IF($X$120&lt;315.5,AA129,IF($X$120&lt;560.5,AB129,AC129))))))</f>
        <v>11</v>
      </c>
      <c r="AE129" s="510"/>
      <c r="AF129" s="513"/>
    </row>
    <row r="130" spans="17:32" ht="15" customHeight="1">
      <c r="Q130" s="510"/>
      <c r="R130" s="510"/>
      <c r="S130" s="507"/>
      <c r="T130" s="937"/>
      <c r="U130" s="938"/>
      <c r="V130" s="939"/>
      <c r="W130" s="941"/>
      <c r="X130" s="941"/>
      <c r="Y130" s="941"/>
      <c r="Z130" s="941"/>
      <c r="AA130" s="941"/>
      <c r="AB130" s="941"/>
      <c r="AC130" s="941"/>
      <c r="AD130" s="936"/>
      <c r="AE130" s="510"/>
      <c r="AF130" s="513"/>
    </row>
    <row r="131" spans="17:32" ht="15" customHeight="1">
      <c r="Q131" s="510"/>
      <c r="R131" s="510"/>
      <c r="S131" s="507"/>
      <c r="T131" s="937" t="s">
        <v>320</v>
      </c>
      <c r="U131" s="938"/>
      <c r="V131" s="939"/>
      <c r="W131" s="940">
        <v>10</v>
      </c>
      <c r="X131" s="940">
        <v>13</v>
      </c>
      <c r="Y131" s="940">
        <v>18</v>
      </c>
      <c r="Z131" s="940">
        <v>25</v>
      </c>
      <c r="AA131" s="940">
        <v>30</v>
      </c>
      <c r="AB131" s="940">
        <v>38</v>
      </c>
      <c r="AC131" s="940">
        <v>50</v>
      </c>
      <c r="AD131" s="936">
        <f>IF($X$120&lt;20.1,W131,IF($X$120&lt;40.5,X131,IF($X$120&lt;100.5,Y131,IF($X$120&lt;260.5,Z131,IF($X$120&lt;315.5,AA131,IF($X$120&lt;560.5,AB131,AC131))))))</f>
        <v>25</v>
      </c>
      <c r="AE131" s="510"/>
      <c r="AF131" s="513"/>
    </row>
    <row r="132" spans="17:32" ht="15" customHeight="1">
      <c r="Q132" s="510"/>
      <c r="R132" s="510"/>
      <c r="S132" s="507"/>
      <c r="T132" s="937"/>
      <c r="U132" s="938"/>
      <c r="V132" s="939"/>
      <c r="W132" s="941"/>
      <c r="X132" s="941"/>
      <c r="Y132" s="941"/>
      <c r="Z132" s="941"/>
      <c r="AA132" s="941"/>
      <c r="AB132" s="941"/>
      <c r="AC132" s="941"/>
      <c r="AD132" s="936"/>
      <c r="AE132" s="510"/>
      <c r="AF132" s="513"/>
    </row>
    <row r="133" spans="17:32" ht="19.5" customHeight="1">
      <c r="Q133" s="510"/>
      <c r="R133" s="510"/>
      <c r="S133" s="507"/>
      <c r="T133" s="507"/>
      <c r="U133" s="510"/>
      <c r="X133" s="510"/>
      <c r="Y133" s="510"/>
      <c r="Z133" s="510"/>
      <c r="AA133" s="507"/>
      <c r="AB133" s="507"/>
      <c r="AE133" s="510"/>
      <c r="AF133" s="513"/>
    </row>
    <row r="134" spans="17:32" ht="19.5" customHeight="1">
      <c r="Q134" s="510"/>
      <c r="R134" s="510"/>
      <c r="T134" s="931" t="s">
        <v>99</v>
      </c>
      <c r="U134" s="931" t="s">
        <v>321</v>
      </c>
      <c r="V134" s="933"/>
      <c r="W134" s="910" t="s">
        <v>322</v>
      </c>
      <c r="X134" s="935"/>
      <c r="Y134" s="929"/>
      <c r="Z134" s="148"/>
      <c r="AA134" s="797" t="s">
        <v>600</v>
      </c>
      <c r="AB134" s="770">
        <f>E9</f>
        <v>1100</v>
      </c>
      <c r="AC134" s="797" t="s">
        <v>601</v>
      </c>
      <c r="AD134" s="770">
        <f>F9</f>
        <v>1100</v>
      </c>
      <c r="AE134" s="510"/>
      <c r="AF134" s="513"/>
    </row>
    <row r="135" spans="17:32" ht="19.5" customHeight="1">
      <c r="Q135" s="510"/>
      <c r="R135" s="510"/>
      <c r="T135" s="932"/>
      <c r="U135" s="932"/>
      <c r="V135" s="934"/>
      <c r="W135" s="437" t="s">
        <v>323</v>
      </c>
      <c r="X135" s="437" t="s">
        <v>324</v>
      </c>
      <c r="Y135" s="437" t="s">
        <v>325</v>
      </c>
      <c r="Z135" s="546" t="s">
        <v>326</v>
      </c>
      <c r="AA135" s="504" t="s">
        <v>327</v>
      </c>
      <c r="AB135" s="521">
        <f>Y105</f>
        <v>2.484594990638286</v>
      </c>
      <c r="AC135" s="546"/>
      <c r="AD135" s="510"/>
      <c r="AE135" s="510"/>
      <c r="AF135" s="513"/>
    </row>
    <row r="136" spans="17:32" ht="19.5" customHeight="1">
      <c r="Q136" s="510"/>
      <c r="R136" s="510"/>
      <c r="T136" s="547">
        <v>400</v>
      </c>
      <c r="U136" s="910" t="s">
        <v>328</v>
      </c>
      <c r="V136" s="929"/>
      <c r="W136" s="437">
        <v>64</v>
      </c>
      <c r="X136" s="437">
        <v>32</v>
      </c>
      <c r="Y136" s="437">
        <v>20</v>
      </c>
      <c r="Z136" s="546">
        <f>AB121</f>
        <v>36.15043371535888</v>
      </c>
      <c r="AA136" s="548">
        <f>0.8*$Z$136</f>
        <v>28.920346972287106</v>
      </c>
      <c r="AB136" s="549">
        <f>0.8*$Z$136</f>
        <v>28.920346972287106</v>
      </c>
      <c r="AC136" s="550">
        <f>0.8*$Z$136</f>
        <v>28.920346972287106</v>
      </c>
      <c r="AD136" s="518" t="s">
        <v>329</v>
      </c>
      <c r="AE136" s="520">
        <f>IF($AB$135&lt;5,T144,IF($AB$135&lt;10,U144,V144))</f>
        <v>9.579864934570104</v>
      </c>
      <c r="AF136" s="513"/>
    </row>
    <row r="137" spans="17:32" ht="19.5" customHeight="1">
      <c r="Q137" s="510"/>
      <c r="R137" s="510"/>
      <c r="T137" s="547">
        <v>500</v>
      </c>
      <c r="U137" s="910" t="s">
        <v>330</v>
      </c>
      <c r="V137" s="929"/>
      <c r="W137" s="437">
        <v>64</v>
      </c>
      <c r="X137" s="437">
        <v>45</v>
      </c>
      <c r="Y137" s="437">
        <v>22</v>
      </c>
      <c r="Z137" s="546">
        <f aca="true" t="shared" si="1" ref="Z137:Z142">Z136</f>
        <v>36.15043371535888</v>
      </c>
      <c r="AA137" s="548">
        <f>0.55*$Z$137</f>
        <v>19.882738543447385</v>
      </c>
      <c r="AB137" s="549">
        <f>0.55*$Z$137</f>
        <v>19.882738543447385</v>
      </c>
      <c r="AC137" s="550">
        <f>0.55*$Z$137</f>
        <v>19.882738543447385</v>
      </c>
      <c r="AD137" s="518" t="s">
        <v>331</v>
      </c>
      <c r="AE137" s="520">
        <f>IF($AB$135&lt;5,T145,IF($AB$135&lt;10,U145,V145))</f>
        <v>9.579864934570104</v>
      </c>
      <c r="AF137" s="513"/>
    </row>
    <row r="138" spans="17:32" ht="19.5" customHeight="1">
      <c r="Q138" s="510"/>
      <c r="R138" s="510"/>
      <c r="T138" s="547">
        <v>600</v>
      </c>
      <c r="U138" s="910" t="s">
        <v>332</v>
      </c>
      <c r="V138" s="929"/>
      <c r="W138" s="437">
        <v>64</v>
      </c>
      <c r="X138" s="437">
        <v>43</v>
      </c>
      <c r="Y138" s="437">
        <v>21</v>
      </c>
      <c r="Z138" s="546">
        <f t="shared" si="1"/>
        <v>36.15043371535888</v>
      </c>
      <c r="AA138" s="548">
        <f>0.534*$Z$138</f>
        <v>19.304331604001643</v>
      </c>
      <c r="AB138" s="549">
        <f>0.534*$Z$138</f>
        <v>19.304331604001643</v>
      </c>
      <c r="AC138" s="550">
        <f>0.534*$Z$138</f>
        <v>19.304331604001643</v>
      </c>
      <c r="AD138" s="510"/>
      <c r="AE138" s="510"/>
      <c r="AF138" s="513"/>
    </row>
    <row r="139" spans="17:32" ht="19.5" customHeight="1">
      <c r="Q139" s="510"/>
      <c r="R139" s="510"/>
      <c r="T139" s="547">
        <v>800</v>
      </c>
      <c r="U139" s="910" t="s">
        <v>333</v>
      </c>
      <c r="V139" s="929"/>
      <c r="W139" s="437">
        <v>64</v>
      </c>
      <c r="X139" s="437">
        <v>32</v>
      </c>
      <c r="Y139" s="437">
        <v>16</v>
      </c>
      <c r="Z139" s="546">
        <f t="shared" si="1"/>
        <v>36.15043371535888</v>
      </c>
      <c r="AA139" s="548">
        <f>0.4*$Z$139</f>
        <v>14.460173486143553</v>
      </c>
      <c r="AB139" s="549">
        <f>0.4*$Z$139</f>
        <v>14.460173486143553</v>
      </c>
      <c r="AC139" s="550">
        <f>0.4*$Z$139</f>
        <v>14.460173486143553</v>
      </c>
      <c r="AD139" s="510"/>
      <c r="AE139" s="510"/>
      <c r="AF139" s="513"/>
    </row>
    <row r="140" spans="17:32" ht="19.5" customHeight="1">
      <c r="Q140" s="510"/>
      <c r="R140" s="510"/>
      <c r="T140" s="547">
        <v>1000</v>
      </c>
      <c r="U140" s="910" t="s">
        <v>334</v>
      </c>
      <c r="V140" s="929"/>
      <c r="W140" s="437">
        <v>64</v>
      </c>
      <c r="X140" s="437">
        <v>26</v>
      </c>
      <c r="Y140" s="437">
        <v>13</v>
      </c>
      <c r="Z140" s="546">
        <f t="shared" si="1"/>
        <v>36.15043371535888</v>
      </c>
      <c r="AA140" s="548">
        <f>0.32*$Z$140</f>
        <v>11.568138788914842</v>
      </c>
      <c r="AB140" s="549">
        <f>0.32*$Z$140</f>
        <v>11.568138788914842</v>
      </c>
      <c r="AC140" s="550">
        <f>0.32*$Z$140</f>
        <v>11.568138788914842</v>
      </c>
      <c r="AD140" s="510"/>
      <c r="AE140" s="510"/>
      <c r="AF140" s="513"/>
    </row>
    <row r="141" spans="17:32" ht="19.5" customHeight="1">
      <c r="Q141" s="510"/>
      <c r="R141" s="510"/>
      <c r="T141" s="547">
        <v>1200</v>
      </c>
      <c r="U141" s="910" t="s">
        <v>335</v>
      </c>
      <c r="V141" s="929"/>
      <c r="W141" s="437">
        <v>64</v>
      </c>
      <c r="X141" s="437">
        <v>21</v>
      </c>
      <c r="Y141" s="437">
        <v>11</v>
      </c>
      <c r="Z141" s="546">
        <f t="shared" si="1"/>
        <v>36.15043371535888</v>
      </c>
      <c r="AA141" s="548">
        <f>0.265*$Z$141</f>
        <v>9.579864934570104</v>
      </c>
      <c r="AB141" s="549">
        <f>0.265*$Z$141</f>
        <v>9.579864934570104</v>
      </c>
      <c r="AC141" s="550">
        <f>0.265*$Z$141</f>
        <v>9.579864934570104</v>
      </c>
      <c r="AD141" s="510"/>
      <c r="AE141" s="510"/>
      <c r="AF141" s="513"/>
    </row>
    <row r="142" spans="17:32" ht="19.5" customHeight="1">
      <c r="Q142" s="510"/>
      <c r="R142" s="510"/>
      <c r="T142" s="551">
        <v>1200</v>
      </c>
      <c r="U142" s="910" t="s">
        <v>336</v>
      </c>
      <c r="V142" s="929"/>
      <c r="W142" s="437">
        <v>6</v>
      </c>
      <c r="X142" s="437">
        <v>6</v>
      </c>
      <c r="Y142" s="437">
        <v>6</v>
      </c>
      <c r="Z142" s="546">
        <f t="shared" si="1"/>
        <v>36.15043371535888</v>
      </c>
      <c r="AA142" s="548">
        <f>0.15*$Z$142</f>
        <v>5.4225650573038315</v>
      </c>
      <c r="AB142" s="549">
        <f>0.15*$Z$142</f>
        <v>5.4225650573038315</v>
      </c>
      <c r="AC142" s="550">
        <f>0.15*$Z$142</f>
        <v>5.4225650573038315</v>
      </c>
      <c r="AD142" s="510"/>
      <c r="AE142" s="510"/>
      <c r="AF142" s="513"/>
    </row>
    <row r="143" spans="17:32" ht="19.5" customHeight="1">
      <c r="Q143" s="510"/>
      <c r="R143" s="510"/>
      <c r="S143" s="507"/>
      <c r="T143" s="507"/>
      <c r="U143" s="510"/>
      <c r="V143" s="510"/>
      <c r="W143" s="510"/>
      <c r="X143" s="510"/>
      <c r="Y143" s="510"/>
      <c r="Z143" s="510"/>
      <c r="AA143" s="507"/>
      <c r="AB143" s="507"/>
      <c r="AC143" s="510"/>
      <c r="AD143" s="510"/>
      <c r="AE143" s="510"/>
      <c r="AF143" s="513"/>
    </row>
    <row r="144" spans="17:32" ht="19.5" customHeight="1">
      <c r="Q144" s="510"/>
      <c r="R144" s="510"/>
      <c r="S144" s="507"/>
      <c r="T144" s="552">
        <f>IF(AB134&lt;T136,W144,IF(AB134&lt;T137,W145,IF(AB134&lt;T138,W146,IF(AB134&lt;T139,AA144,IF(AB134&lt;T140,AA145,IF(AB134&lt;T141,AA146,AA147))))))</f>
        <v>9.579864934570104</v>
      </c>
      <c r="U144" s="552">
        <f>IF($AB$134&lt;$T$136,X144,IF($AB$134&lt;$T$137,X145,IF($AB$134&lt;$T$138,X146,IF($AB$134&lt;$T$139,AB144,IF($AB$134&lt;$T$140,AB145,IF($AB$134&lt;T141,AB146,AB147))))))</f>
        <v>9.579864934570104</v>
      </c>
      <c r="V144" s="552">
        <f>IF($AB$134&lt;$T$136,Y144,IF($AB$134&lt;$T$137,Y145,IF($AB$134&lt;$T$138,Y146,IF($AB$134&lt;$T$139,AC144,IF($AB$134&lt;$T$140,AC145,IF($AB$134&lt;U141,AC146,AC147))))))</f>
        <v>9.579864934570104</v>
      </c>
      <c r="W144" s="553">
        <f aca="true" t="shared" si="2" ref="W144:Y145">IF(AA136&lt;W136,AA136,W136)</f>
        <v>28.920346972287106</v>
      </c>
      <c r="X144" s="553">
        <f t="shared" si="2"/>
        <v>28.920346972287106</v>
      </c>
      <c r="Y144" s="553">
        <f t="shared" si="2"/>
        <v>20</v>
      </c>
      <c r="Z144" s="510"/>
      <c r="AA144" s="553">
        <f aca="true" t="shared" si="3" ref="AA144:AC147">IF(AA139&lt;W139,AA139,W139)</f>
        <v>14.460173486143553</v>
      </c>
      <c r="AB144" s="553">
        <f t="shared" si="3"/>
        <v>14.460173486143553</v>
      </c>
      <c r="AC144" s="553">
        <f t="shared" si="3"/>
        <v>14.460173486143553</v>
      </c>
      <c r="AD144" s="510"/>
      <c r="AE144" s="510"/>
      <c r="AF144" s="513"/>
    </row>
    <row r="145" spans="17:32" ht="19.5" customHeight="1">
      <c r="Q145" s="510"/>
      <c r="R145" s="510"/>
      <c r="S145" s="507"/>
      <c r="T145" s="546">
        <f>IF($AD$134&lt;$T$136,W144,IF($AD$134&lt;$T$137,W145,IF($AD$134&lt;$T$138,W146,IF($AD$134&lt;$T$139,AA144,IF($AD$134&lt;$T$140,AA145,IF($AD$134&lt;$T$141,AA146,AA147))))))</f>
        <v>9.579864934570104</v>
      </c>
      <c r="U145" s="546">
        <f>IF($AD$134&lt;$T$136,X144,IF($AD$134&lt;$T$137,X145,IF($AD$134&lt;$T$138,X146,IF($AD$134&lt;$T$139,AB144,IF($AD$134&lt;$T$140,AB145,IF($AD$134&lt;$T$141,AB146,AB147))))))</f>
        <v>9.579864934570104</v>
      </c>
      <c r="V145" s="546">
        <f>IF($AD$134&lt;$T$136,Y144,IF($AD$134&lt;$T$137,Y145,IF($AD$134&lt;$T$138,Y146,IF($AD$134&lt;$T$139,AC144,IF($AD$134&lt;$T$140,AC145,IF($AD$134&lt;$T$141,AC146,AC147))))))</f>
        <v>9.579864934570104</v>
      </c>
      <c r="W145" s="553">
        <f t="shared" si="2"/>
        <v>19.882738543447385</v>
      </c>
      <c r="X145" s="553">
        <f t="shared" si="2"/>
        <v>19.882738543447385</v>
      </c>
      <c r="Y145" s="553">
        <f t="shared" si="2"/>
        <v>19.882738543447385</v>
      </c>
      <c r="Z145" s="148"/>
      <c r="AA145" s="553">
        <f t="shared" si="3"/>
        <v>11.568138788914842</v>
      </c>
      <c r="AB145" s="553">
        <f t="shared" si="3"/>
        <v>11.568138788914842</v>
      </c>
      <c r="AC145" s="553">
        <f t="shared" si="3"/>
        <v>11.568138788914842</v>
      </c>
      <c r="AD145" s="510"/>
      <c r="AE145" s="510"/>
      <c r="AF145" s="513"/>
    </row>
    <row r="146" spans="17:32" ht="19.5" customHeight="1">
      <c r="Q146" s="510"/>
      <c r="R146" s="510"/>
      <c r="S146" s="507"/>
      <c r="T146" s="507"/>
      <c r="U146" s="510"/>
      <c r="V146" s="148"/>
      <c r="W146" s="553">
        <f>IF(AA138&lt;W138,AA138,64)</f>
        <v>19.304331604001643</v>
      </c>
      <c r="X146" s="553">
        <f>IF(AB138&lt;X138,AB138,X138)</f>
        <v>19.304331604001643</v>
      </c>
      <c r="Y146" s="553">
        <f>IF(AC138&lt;Y138,AC138,Y138)</f>
        <v>19.304331604001643</v>
      </c>
      <c r="Z146" s="504"/>
      <c r="AA146" s="553">
        <f t="shared" si="3"/>
        <v>9.579864934570104</v>
      </c>
      <c r="AB146" s="553">
        <f t="shared" si="3"/>
        <v>9.579864934570104</v>
      </c>
      <c r="AC146" s="553">
        <f t="shared" si="3"/>
        <v>9.579864934570104</v>
      </c>
      <c r="AD146" s="510"/>
      <c r="AE146" s="510"/>
      <c r="AF146" s="513"/>
    </row>
    <row r="147" spans="17:32" ht="19.5" customHeight="1">
      <c r="Q147" s="510"/>
      <c r="R147" s="510"/>
      <c r="S147" s="507"/>
      <c r="T147" s="507"/>
      <c r="U147" s="510"/>
      <c r="V147" s="148"/>
      <c r="W147" s="148"/>
      <c r="X147" s="148"/>
      <c r="Y147" s="510"/>
      <c r="Z147" s="504"/>
      <c r="AA147" s="553">
        <f t="shared" si="3"/>
        <v>5.4225650573038315</v>
      </c>
      <c r="AB147" s="553">
        <f t="shared" si="3"/>
        <v>5.4225650573038315</v>
      </c>
      <c r="AC147" s="553">
        <f t="shared" si="3"/>
        <v>5.4225650573038315</v>
      </c>
      <c r="AD147" s="510"/>
      <c r="AE147" s="510"/>
      <c r="AF147" s="513"/>
    </row>
    <row r="148" spans="17:32" ht="19.5" customHeight="1">
      <c r="Q148" s="510"/>
      <c r="R148" s="510"/>
      <c r="S148" s="507"/>
      <c r="T148" s="507"/>
      <c r="U148" s="510"/>
      <c r="V148" s="148"/>
      <c r="W148" s="148"/>
      <c r="X148" s="148"/>
      <c r="Y148" s="510"/>
      <c r="Z148" s="504"/>
      <c r="AA148" s="507"/>
      <c r="AB148" s="507"/>
      <c r="AC148" s="510"/>
      <c r="AD148" s="510"/>
      <c r="AE148" s="510"/>
      <c r="AF148" s="513"/>
    </row>
    <row r="149" spans="17:32" ht="19.5" customHeight="1">
      <c r="Q149" s="510"/>
      <c r="R149" s="510"/>
      <c r="S149" s="507"/>
      <c r="T149" s="507"/>
      <c r="U149" s="510"/>
      <c r="V149" s="510"/>
      <c r="W149" s="510"/>
      <c r="X149" s="510"/>
      <c r="Y149" s="510"/>
      <c r="Z149" s="504"/>
      <c r="AA149" s="507"/>
      <c r="AB149" s="507"/>
      <c r="AC149" s="510"/>
      <c r="AD149" s="510"/>
      <c r="AE149" s="510"/>
      <c r="AF149" s="513"/>
    </row>
    <row r="150" spans="17:32" ht="19.5" customHeight="1">
      <c r="Q150" s="510"/>
      <c r="R150" s="510"/>
      <c r="S150" s="507"/>
      <c r="T150" s="507"/>
      <c r="U150" s="510"/>
      <c r="V150" s="510"/>
      <c r="W150" s="510"/>
      <c r="X150" s="504" t="s">
        <v>337</v>
      </c>
      <c r="Y150" s="522">
        <f>AD84</f>
        <v>1.7965011628299614</v>
      </c>
      <c r="Z150" s="504" t="s">
        <v>338</v>
      </c>
      <c r="AA150" s="522">
        <f>AA152^2/(1+AA152+AA152^2)</f>
        <v>0.8732846194974159</v>
      </c>
      <c r="AB150" s="507"/>
      <c r="AC150" s="554" t="s">
        <v>339</v>
      </c>
      <c r="AD150" s="555">
        <f>Y150^AA150</f>
        <v>1.6679676559058085</v>
      </c>
      <c r="AE150" s="510"/>
      <c r="AF150" s="513"/>
    </row>
    <row r="151" spans="17:32" ht="19.5" customHeight="1" thickBot="1">
      <c r="Q151" s="510"/>
      <c r="R151" s="510"/>
      <c r="S151" s="507"/>
      <c r="T151" s="507"/>
      <c r="U151" s="510"/>
      <c r="V151" s="510"/>
      <c r="W151" s="510"/>
      <c r="X151" s="504" t="s">
        <v>340</v>
      </c>
      <c r="Y151" s="521">
        <f>AA105</f>
        <v>140</v>
      </c>
      <c r="Z151" s="754" t="s">
        <v>341</v>
      </c>
      <c r="AA151" s="755">
        <f>2.25*AA58</f>
        <v>18</v>
      </c>
      <c r="AB151" s="507"/>
      <c r="AC151" s="510"/>
      <c r="AD151" s="510"/>
      <c r="AE151" s="510"/>
      <c r="AF151" s="513"/>
    </row>
    <row r="152" spans="17:32" ht="19.5" customHeight="1" thickBot="1">
      <c r="Q152" s="510"/>
      <c r="R152" s="510"/>
      <c r="S152" s="416"/>
      <c r="T152" s="507"/>
      <c r="U152" s="510"/>
      <c r="V152" s="510"/>
      <c r="W152" s="148"/>
      <c r="X152" s="148"/>
      <c r="Y152" s="148"/>
      <c r="Z152" s="433" t="s">
        <v>342</v>
      </c>
      <c r="AA152" s="522">
        <f>Y151/AA151</f>
        <v>7.777777777777778</v>
      </c>
      <c r="AB152" s="507"/>
      <c r="AC152" s="530" t="s">
        <v>343</v>
      </c>
      <c r="AD152" s="531">
        <f>Y150^AA150</f>
        <v>1.6679676559058085</v>
      </c>
      <c r="AE152" s="510"/>
      <c r="AF152" s="513"/>
    </row>
    <row r="153" spans="17:32" ht="19.5" customHeight="1" thickBot="1">
      <c r="Q153" s="510"/>
      <c r="R153" s="510"/>
      <c r="S153" s="507"/>
      <c r="T153" s="507"/>
      <c r="U153" s="510"/>
      <c r="V153" s="510"/>
      <c r="W153" s="148"/>
      <c r="X153" s="148"/>
      <c r="Y153" s="148"/>
      <c r="Z153" s="148"/>
      <c r="AA153" s="148"/>
      <c r="AB153" s="507"/>
      <c r="AC153" s="510"/>
      <c r="AD153" s="510"/>
      <c r="AE153" s="510"/>
      <c r="AF153" s="513"/>
    </row>
    <row r="154" spans="17:32" ht="19.5" customHeight="1" thickBot="1">
      <c r="Q154" s="510"/>
      <c r="R154" s="510"/>
      <c r="S154" s="507"/>
      <c r="T154" s="507"/>
      <c r="U154" s="510"/>
      <c r="V154" s="510"/>
      <c r="W154" s="510"/>
      <c r="X154" s="510"/>
      <c r="Y154" s="510"/>
      <c r="Z154" s="510"/>
      <c r="AA154" s="507"/>
      <c r="AB154" s="507"/>
      <c r="AC154" s="530" t="s">
        <v>344</v>
      </c>
      <c r="AD154" s="531">
        <f>0.25+0.75/X156</f>
        <v>0.731984514385756</v>
      </c>
      <c r="AE154" s="510"/>
      <c r="AF154" s="513"/>
    </row>
    <row r="155" spans="17:32" ht="19.5" customHeight="1" thickBot="1">
      <c r="Q155" s="510"/>
      <c r="R155" s="510"/>
      <c r="S155" s="507"/>
      <c r="T155" s="507"/>
      <c r="U155" s="510"/>
      <c r="V155" s="510"/>
      <c r="W155" s="510"/>
      <c r="X155" s="510"/>
      <c r="Y155" s="510"/>
      <c r="Z155" s="510"/>
      <c r="AA155" s="507"/>
      <c r="AB155" s="507"/>
      <c r="AC155" s="510"/>
      <c r="AD155" s="510"/>
      <c r="AE155" s="510"/>
      <c r="AF155" s="513"/>
    </row>
    <row r="156" spans="17:32" ht="19.5" customHeight="1" thickBot="1">
      <c r="Q156" s="510"/>
      <c r="R156" s="510"/>
      <c r="S156" s="507"/>
      <c r="T156" s="507"/>
      <c r="U156" s="510"/>
      <c r="V156" s="510"/>
      <c r="W156" s="753" t="s">
        <v>579</v>
      </c>
      <c r="X156" s="751">
        <f>6!D40</f>
        <v>1.5560665905538575</v>
      </c>
      <c r="AA156" s="558" t="s">
        <v>345</v>
      </c>
      <c r="AB156" s="557">
        <f>AC291</f>
        <v>0.8153164966922368</v>
      </c>
      <c r="AC156" s="530" t="s">
        <v>346</v>
      </c>
      <c r="AD156" s="531">
        <f>IF(AA160&lt;30,Y158,Z158)</f>
        <v>0.9181250055760126</v>
      </c>
      <c r="AE156" s="510"/>
      <c r="AF156" s="513"/>
    </row>
    <row r="157" spans="17:32" ht="19.5" customHeight="1" thickBot="1">
      <c r="Q157" s="510"/>
      <c r="R157" s="510"/>
      <c r="S157" s="507"/>
      <c r="T157" s="507"/>
      <c r="U157" s="510"/>
      <c r="V157" s="510"/>
      <c r="W157" s="559"/>
      <c r="X157" s="559"/>
      <c r="Y157" s="510"/>
      <c r="Z157" s="510"/>
      <c r="AA157" s="507"/>
      <c r="AB157" s="507"/>
      <c r="AC157" s="510"/>
      <c r="AD157" s="510"/>
      <c r="AE157" s="510"/>
      <c r="AF157" s="513"/>
    </row>
    <row r="158" spans="17:32" ht="19.5" customHeight="1" thickBot="1">
      <c r="Q158" s="510"/>
      <c r="R158" s="510"/>
      <c r="S158" s="507"/>
      <c r="T158" s="507"/>
      <c r="U158" s="510"/>
      <c r="V158" s="510"/>
      <c r="W158" s="753" t="s">
        <v>580</v>
      </c>
      <c r="X158" s="795">
        <f>IF(6!D41&gt;=1,1,6!D41)</f>
        <v>0.9748280364410579</v>
      </c>
      <c r="Y158" s="510">
        <f>1-X158*AA160/120</f>
        <v>0.9181250055760126</v>
      </c>
      <c r="Z158" s="510">
        <f>1-X158*0.75</f>
        <v>0.2688789726692066</v>
      </c>
      <c r="AA158" s="507"/>
      <c r="AB158" s="507"/>
      <c r="AC158" s="530" t="s">
        <v>347</v>
      </c>
      <c r="AD158" s="531">
        <f>IF(AA160&gt;1,AE166,AE163)</f>
        <v>1.2</v>
      </c>
      <c r="AE158" s="510"/>
      <c r="AF158" s="513"/>
    </row>
    <row r="159" spans="17:32" ht="19.5" customHeight="1" thickBot="1">
      <c r="Q159" s="510"/>
      <c r="R159" s="510"/>
      <c r="S159" s="507"/>
      <c r="T159" s="507"/>
      <c r="U159" s="510"/>
      <c r="V159" s="510"/>
      <c r="W159" s="510"/>
      <c r="X159" s="510"/>
      <c r="Y159" s="510"/>
      <c r="Z159" s="510"/>
      <c r="AA159" s="507"/>
      <c r="AB159" s="507"/>
      <c r="AF159" s="513"/>
    </row>
    <row r="160" spans="17:32" ht="19.5" customHeight="1" thickBot="1">
      <c r="Q160" s="510"/>
      <c r="R160" s="510"/>
      <c r="S160" s="507"/>
      <c r="U160" s="523" t="s">
        <v>348</v>
      </c>
      <c r="V160" s="510">
        <f>AA94*X83/AA105</f>
        <v>325.7135242816758</v>
      </c>
      <c r="W160" s="510"/>
      <c r="X160" s="560" t="str">
        <f>W112</f>
        <v>DIN</v>
      </c>
      <c r="Y160" s="561">
        <f>X112</f>
        <v>8</v>
      </c>
      <c r="Z160" s="556" t="s">
        <v>349</v>
      </c>
      <c r="AA160" s="562">
        <f>Y103</f>
        <v>10.0787</v>
      </c>
      <c r="AB160" s="507"/>
      <c r="AC160" s="530" t="s">
        <v>350</v>
      </c>
      <c r="AD160" s="531">
        <f>IF(AA160&gt;1,AE173,AE170)</f>
        <v>1.2</v>
      </c>
      <c r="AF160" s="513"/>
    </row>
    <row r="161" spans="17:32" ht="19.5" customHeight="1">
      <c r="Q161" s="510"/>
      <c r="R161" s="510"/>
      <c r="S161" s="507" t="s">
        <v>351</v>
      </c>
      <c r="T161" s="507"/>
      <c r="U161" s="930" t="s">
        <v>352</v>
      </c>
      <c r="V161" s="930"/>
      <c r="W161" s="930"/>
      <c r="X161" s="930"/>
      <c r="Y161" s="930"/>
      <c r="Z161" s="930"/>
      <c r="AA161" s="930"/>
      <c r="AB161" s="552" t="s">
        <v>353</v>
      </c>
      <c r="AC161" s="546" t="s">
        <v>354</v>
      </c>
      <c r="AD161" s="546" t="s">
        <v>353</v>
      </c>
      <c r="AE161" s="563"/>
      <c r="AF161" s="513"/>
    </row>
    <row r="162" spans="17:32" ht="19.5" customHeight="1">
      <c r="Q162" s="510"/>
      <c r="R162" s="510"/>
      <c r="S162" s="777">
        <f>1!H37</f>
        <v>3</v>
      </c>
      <c r="T162" s="776" t="s">
        <v>355</v>
      </c>
      <c r="U162" s="565">
        <v>6</v>
      </c>
      <c r="V162" s="565">
        <v>7</v>
      </c>
      <c r="W162" s="565">
        <v>8</v>
      </c>
      <c r="X162" s="565">
        <v>9</v>
      </c>
      <c r="Y162" s="565">
        <v>10</v>
      </c>
      <c r="Z162" s="566">
        <v>11</v>
      </c>
      <c r="AA162" s="565">
        <v>12</v>
      </c>
      <c r="AB162" s="567" t="s">
        <v>356</v>
      </c>
      <c r="AC162" s="510"/>
      <c r="AD162" s="510"/>
      <c r="AE162" s="563"/>
      <c r="AF162" s="513"/>
    </row>
    <row r="163" spans="17:31" ht="19.5" customHeight="1">
      <c r="Q163" s="510"/>
      <c r="R163" s="510"/>
      <c r="S163" s="568"/>
      <c r="T163" s="928" t="s">
        <v>357</v>
      </c>
      <c r="U163" s="548">
        <v>1</v>
      </c>
      <c r="V163" s="548">
        <v>1</v>
      </c>
      <c r="W163" s="548">
        <v>1.1</v>
      </c>
      <c r="X163" s="548">
        <v>1.2</v>
      </c>
      <c r="Y163" s="569">
        <f>IF(1/AD154&lt;1.2,1.2,1/AD154)</f>
        <v>1.3661491197517326</v>
      </c>
      <c r="Z163" s="570"/>
      <c r="AA163" s="570"/>
      <c r="AB163" s="571"/>
      <c r="AC163" s="546">
        <f>IF($Y$160&lt;6.5,U163,IF($Y$160&lt;7.5,V163,IF($Y$160&lt;8.5,W163,IF($Y$160&lt;9.5,X163,Y163))))</f>
        <v>1.1</v>
      </c>
      <c r="AD163" s="546">
        <f>Y163</f>
        <v>1.3661491197517326</v>
      </c>
      <c r="AE163" s="572">
        <f>IF($S$162&gt;2.5,AC165,AD165)</f>
        <v>1.1</v>
      </c>
    </row>
    <row r="164" spans="17:32" ht="19.5" customHeight="1">
      <c r="Q164" s="510"/>
      <c r="R164" s="510"/>
      <c r="S164" s="568"/>
      <c r="T164" s="928"/>
      <c r="U164" s="569">
        <v>1</v>
      </c>
      <c r="V164" s="570"/>
      <c r="W164" s="571"/>
      <c r="X164" s="548">
        <v>1.1</v>
      </c>
      <c r="Y164" s="548">
        <v>1.2</v>
      </c>
      <c r="Z164" s="569">
        <f>IF(1/AD154&lt;1.2,1.2,1/AD154)</f>
        <v>1.3661491197517326</v>
      </c>
      <c r="AA164" s="570"/>
      <c r="AB164" s="571"/>
      <c r="AC164" s="546">
        <f>IF($Y$160&lt;8.5,U164,IF($Y$160&lt;9.5,X164,IF($Y$160&lt;10.5,Y164,Z164)))</f>
        <v>1</v>
      </c>
      <c r="AD164" s="573">
        <f>Z164</f>
        <v>1.3661491197517326</v>
      </c>
      <c r="AE164" s="148"/>
      <c r="AF164" s="563"/>
    </row>
    <row r="165" spans="17:32" ht="19.5" customHeight="1">
      <c r="Q165" s="510"/>
      <c r="R165" s="510"/>
      <c r="S165" s="507"/>
      <c r="T165" s="564" t="s">
        <v>358</v>
      </c>
      <c r="U165" s="570"/>
      <c r="V165" s="570"/>
      <c r="W165" s="570"/>
      <c r="X165" s="570"/>
      <c r="Y165" s="570"/>
      <c r="Z165" s="570"/>
      <c r="AA165" s="570"/>
      <c r="AB165" s="571"/>
      <c r="AC165" s="572">
        <f>IF($V$160&gt;100,AC163,AD163)</f>
        <v>1.1</v>
      </c>
      <c r="AD165" s="572">
        <f>IF($V$160&gt;100,AC164,AD164)</f>
        <v>1</v>
      </c>
      <c r="AE165" s="572"/>
      <c r="AF165" s="563"/>
    </row>
    <row r="166" spans="17:31" ht="19.5" customHeight="1">
      <c r="Q166" s="510"/>
      <c r="R166" s="510"/>
      <c r="S166" s="568"/>
      <c r="T166" s="926" t="s">
        <v>357</v>
      </c>
      <c r="U166" s="574">
        <v>1</v>
      </c>
      <c r="V166" s="574">
        <v>1.1</v>
      </c>
      <c r="W166" s="574">
        <v>1.2</v>
      </c>
      <c r="X166" s="574">
        <v>1.4</v>
      </c>
      <c r="Y166" s="569">
        <f>IF(X156&lt;1.4,1.4,X156)</f>
        <v>1.5560665905538575</v>
      </c>
      <c r="Z166" s="570"/>
      <c r="AA166" s="570"/>
      <c r="AB166" s="571"/>
      <c r="AC166" s="546">
        <f>IF($Y$160&lt;6.5,U166,IF($Y$160&lt;7.5,V166,IF($Y$160&lt;8.5,W166,IF($Y$160&lt;9.5,X166,Y166))))</f>
        <v>1.2</v>
      </c>
      <c r="AD166" s="546">
        <f>Y166</f>
        <v>1.5560665905538575</v>
      </c>
      <c r="AE166" s="572">
        <f>IF($S$162&gt;2.5,AC168,AD168)</f>
        <v>1.2</v>
      </c>
    </row>
    <row r="167" spans="17:32" ht="19.5" customHeight="1">
      <c r="Q167" s="510"/>
      <c r="R167" s="510"/>
      <c r="S167" s="568"/>
      <c r="T167" s="927"/>
      <c r="U167" s="569">
        <v>1</v>
      </c>
      <c r="V167" s="571"/>
      <c r="W167" s="574">
        <v>1.1</v>
      </c>
      <c r="X167" s="574">
        <v>1.2</v>
      </c>
      <c r="Y167" s="574">
        <v>1.4</v>
      </c>
      <c r="Z167" s="569">
        <f>IF(X156&lt;1.4,1.4,X156)</f>
        <v>1.5560665905538575</v>
      </c>
      <c r="AA167" s="570"/>
      <c r="AB167" s="571"/>
      <c r="AC167" s="546">
        <f>IF($Y$160&lt;7.5,U167,IF($Y$160&lt;8.5,W167,IF($Y$160&lt;9.5,X167,IF($Y$160&lt;10.5,Y167,Z167))))</f>
        <v>1.1</v>
      </c>
      <c r="AD167" s="546">
        <f>Z167</f>
        <v>1.5560665905538575</v>
      </c>
      <c r="AE167" s="148"/>
      <c r="AF167" s="563"/>
    </row>
    <row r="168" spans="17:32" ht="19.5" customHeight="1">
      <c r="Q168" s="510"/>
      <c r="R168" s="510"/>
      <c r="S168" s="507"/>
      <c r="T168" s="575"/>
      <c r="U168" s="510"/>
      <c r="V168" s="510"/>
      <c r="W168" s="510"/>
      <c r="X168" s="510"/>
      <c r="Y168" s="510"/>
      <c r="Z168" s="510"/>
      <c r="AA168" s="507"/>
      <c r="AB168" s="507"/>
      <c r="AC168" s="572">
        <f>IF($V$160&gt;100,AC166,AD166)</f>
        <v>1.2</v>
      </c>
      <c r="AD168" s="572">
        <f>IF($V$160&gt;100,AC167,AD167)</f>
        <v>1.1</v>
      </c>
      <c r="AE168" s="572"/>
      <c r="AF168" s="563"/>
    </row>
    <row r="169" spans="17:32" ht="19.5" customHeight="1">
      <c r="Q169" s="510"/>
      <c r="R169" s="510"/>
      <c r="S169" s="507"/>
      <c r="T169" s="564" t="s">
        <v>355</v>
      </c>
      <c r="U169" s="565">
        <v>6</v>
      </c>
      <c r="V169" s="565">
        <v>7</v>
      </c>
      <c r="W169" s="565">
        <v>8</v>
      </c>
      <c r="X169" s="565">
        <v>9</v>
      </c>
      <c r="Y169" s="565">
        <v>10</v>
      </c>
      <c r="Z169" s="566">
        <v>11</v>
      </c>
      <c r="AA169" s="565">
        <v>12</v>
      </c>
      <c r="AB169" s="567" t="s">
        <v>356</v>
      </c>
      <c r="AC169" s="572">
        <f>IF($V$160&gt;100,AC170,AD170)</f>
        <v>1.1</v>
      </c>
      <c r="AD169" s="572">
        <f>IF($V$160&gt;100,AC171,AD171)</f>
        <v>1</v>
      </c>
      <c r="AE169" s="572"/>
      <c r="AF169" s="563"/>
    </row>
    <row r="170" spans="17:31" ht="19.5" customHeight="1">
      <c r="Q170" s="510"/>
      <c r="R170" s="510"/>
      <c r="S170" s="568"/>
      <c r="T170" s="928" t="s">
        <v>359</v>
      </c>
      <c r="U170" s="548">
        <v>1</v>
      </c>
      <c r="V170" s="548">
        <v>1</v>
      </c>
      <c r="W170" s="548">
        <v>1.1</v>
      </c>
      <c r="X170" s="548">
        <v>1.2</v>
      </c>
      <c r="Y170" s="569">
        <f>IF(1/AD154&lt;1.2,1.2,1/AD154)</f>
        <v>1.3661491197517326</v>
      </c>
      <c r="Z170" s="570"/>
      <c r="AA170" s="570"/>
      <c r="AB170" s="571"/>
      <c r="AC170" s="546">
        <f>IF($Y$160&lt;6.5,U170,IF($Y$160&lt;7.5,V170,IF($Y$160&lt;8.5,W170,IF($Y$160&lt;9.5,X170,Y170))))</f>
        <v>1.1</v>
      </c>
      <c r="AD170" s="546">
        <f>Y170</f>
        <v>1.3661491197517326</v>
      </c>
      <c r="AE170" s="572">
        <f>IF($S$162&gt;2.5,AC169,AD169)</f>
        <v>1.1</v>
      </c>
    </row>
    <row r="171" spans="17:32" ht="19.5" customHeight="1">
      <c r="Q171" s="510"/>
      <c r="R171" s="510"/>
      <c r="S171" s="568"/>
      <c r="T171" s="928"/>
      <c r="U171" s="569">
        <v>1</v>
      </c>
      <c r="V171" s="570"/>
      <c r="W171" s="571"/>
      <c r="X171" s="548">
        <v>1.1</v>
      </c>
      <c r="Y171" s="548">
        <v>1.2</v>
      </c>
      <c r="Z171" s="569">
        <f>IF(1/AD154&lt;1.2,1.2,1/AD154)</f>
        <v>1.3661491197517326</v>
      </c>
      <c r="AA171" s="570"/>
      <c r="AB171" s="571"/>
      <c r="AC171" s="546">
        <f>IF($Y$160&lt;8.5,U171,IF($Y$160&lt;9.5,X171,IF($Y$160&lt;10.5,Y171,Z171)))</f>
        <v>1</v>
      </c>
      <c r="AD171" s="546">
        <f>Z171</f>
        <v>1.3661491197517326</v>
      </c>
      <c r="AE171" s="148"/>
      <c r="AF171" s="563"/>
    </row>
    <row r="172" spans="17:32" ht="19.5" customHeight="1">
      <c r="Q172" s="510"/>
      <c r="R172" s="510"/>
      <c r="S172" s="507"/>
      <c r="T172" s="564" t="s">
        <v>358</v>
      </c>
      <c r="U172" s="570"/>
      <c r="V172" s="570"/>
      <c r="W172" s="570"/>
      <c r="X172" s="570"/>
      <c r="Y172" s="570"/>
      <c r="Z172" s="570"/>
      <c r="AA172" s="570"/>
      <c r="AB172" s="571"/>
      <c r="AC172" s="572">
        <f>IF($V$160&gt;100,AC173,AD173)</f>
        <v>1.2</v>
      </c>
      <c r="AD172" s="572">
        <f>IF($V$160&gt;100,AC174,AD174)</f>
        <v>1.1</v>
      </c>
      <c r="AE172" s="572"/>
      <c r="AF172" s="563"/>
    </row>
    <row r="173" spans="17:31" ht="19.5" customHeight="1">
      <c r="Q173" s="510"/>
      <c r="R173" s="510"/>
      <c r="S173" s="568"/>
      <c r="T173" s="928" t="s">
        <v>359</v>
      </c>
      <c r="U173" s="574">
        <v>1</v>
      </c>
      <c r="V173" s="574">
        <v>1.1</v>
      </c>
      <c r="W173" s="574">
        <v>1.2</v>
      </c>
      <c r="X173" s="574">
        <v>1.4</v>
      </c>
      <c r="Y173" s="569">
        <f>IF(X156&lt;1.4,1.4,X156)</f>
        <v>1.5560665905538575</v>
      </c>
      <c r="Z173" s="570"/>
      <c r="AA173" s="570"/>
      <c r="AB173" s="571"/>
      <c r="AC173" s="546">
        <f>IF($Y$160&lt;6.5,U173,IF($Y$160&lt;7.5,V173,IF($Y$160&lt;8.5,W173,IF($Y$160&lt;9.5,X173,Y173))))</f>
        <v>1.2</v>
      </c>
      <c r="AD173" s="546">
        <f>Y173</f>
        <v>1.5560665905538575</v>
      </c>
      <c r="AE173" s="572">
        <f>IF($S$162&gt;2.5,AC172,AD172)</f>
        <v>1.2</v>
      </c>
    </row>
    <row r="174" spans="17:32" ht="19.5" customHeight="1">
      <c r="Q174" s="510"/>
      <c r="R174" s="510"/>
      <c r="S174" s="568"/>
      <c r="T174" s="928"/>
      <c r="U174" s="569">
        <v>1</v>
      </c>
      <c r="V174" s="571"/>
      <c r="W174" s="574">
        <v>1.1</v>
      </c>
      <c r="X174" s="574">
        <v>1.2</v>
      </c>
      <c r="Y174" s="574">
        <v>1.4</v>
      </c>
      <c r="Z174" s="569">
        <f>IF(X156&lt;1.4,1.4,X156)</f>
        <v>1.5560665905538575</v>
      </c>
      <c r="AA174" s="570"/>
      <c r="AB174" s="571"/>
      <c r="AC174" s="546">
        <f>IF($Y$160&lt;7.5,U174,IF($Y$160&lt;8.5,W174,IF($Y$160&lt;9.5,X174,IF($Y$160&lt;10.5,Y174,Z174))))</f>
        <v>1.1</v>
      </c>
      <c r="AD174" s="546">
        <f>Z174</f>
        <v>1.5560665905538575</v>
      </c>
      <c r="AE174" s="148"/>
      <c r="AF174" s="510"/>
    </row>
    <row r="175" spans="17:32" ht="19.5" customHeight="1">
      <c r="Q175" s="510"/>
      <c r="R175" s="510"/>
      <c r="S175" s="507"/>
      <c r="T175" s="507"/>
      <c r="U175" s="510"/>
      <c r="V175" s="510"/>
      <c r="W175" s="510"/>
      <c r="X175" s="510"/>
      <c r="Y175" s="510"/>
      <c r="Z175" s="510"/>
      <c r="AA175" s="507"/>
      <c r="AB175" s="507"/>
      <c r="AC175" s="510"/>
      <c r="AD175" s="510"/>
      <c r="AE175" s="510"/>
      <c r="AF175" s="513"/>
    </row>
    <row r="176" spans="17:32" ht="19.5" customHeight="1" thickBot="1">
      <c r="Q176" s="510"/>
      <c r="R176" s="510"/>
      <c r="S176" s="507"/>
      <c r="T176" s="507"/>
      <c r="U176" s="510"/>
      <c r="V176" s="510"/>
      <c r="W176" s="510"/>
      <c r="X176" s="510"/>
      <c r="Y176" s="510"/>
      <c r="Z176" s="510"/>
      <c r="AA176" s="507"/>
      <c r="AB176" s="507"/>
      <c r="AC176" s="510"/>
      <c r="AD176" s="510"/>
      <c r="AE176" s="510"/>
      <c r="AF176" s="513"/>
    </row>
    <row r="177" spans="17:32" ht="19.5" customHeight="1">
      <c r="Q177" s="510"/>
      <c r="R177" s="510"/>
      <c r="S177" s="912"/>
      <c r="T177" s="916"/>
      <c r="U177" s="913"/>
      <c r="V177" s="912" t="s">
        <v>360</v>
      </c>
      <c r="W177" s="916"/>
      <c r="X177" s="916"/>
      <c r="Y177" s="916"/>
      <c r="Z177" s="916"/>
      <c r="AA177" s="916"/>
      <c r="AB177" s="916"/>
      <c r="AC177" s="916"/>
      <c r="AD177" s="913"/>
      <c r="AE177" s="510"/>
      <c r="AF177" s="513"/>
    </row>
    <row r="178" spans="17:32" ht="19.5" customHeight="1">
      <c r="Q178" s="510"/>
      <c r="R178" s="510"/>
      <c r="S178" s="921"/>
      <c r="T178" s="924"/>
      <c r="U178" s="925"/>
      <c r="V178" s="921" t="s">
        <v>352</v>
      </c>
      <c r="W178" s="922"/>
      <c r="X178" s="922"/>
      <c r="Y178" s="922"/>
      <c r="Z178" s="922"/>
      <c r="AA178" s="922"/>
      <c r="AB178" s="922"/>
      <c r="AC178" s="923"/>
      <c r="AD178" s="924" t="s">
        <v>361</v>
      </c>
      <c r="AE178" s="510"/>
      <c r="AF178" s="513"/>
    </row>
    <row r="179" spans="17:32" ht="19.5" customHeight="1">
      <c r="Q179" s="510"/>
      <c r="R179" s="510"/>
      <c r="S179" s="921" t="s">
        <v>362</v>
      </c>
      <c r="T179" s="924"/>
      <c r="U179" s="925"/>
      <c r="V179" s="579"/>
      <c r="W179" s="579"/>
      <c r="X179" s="579"/>
      <c r="Y179" s="579"/>
      <c r="Z179" s="579"/>
      <c r="AA179" s="580"/>
      <c r="AB179" s="578"/>
      <c r="AC179" s="579"/>
      <c r="AD179" s="924"/>
      <c r="AE179" s="510"/>
      <c r="AF179" s="513"/>
    </row>
    <row r="180" spans="17:32" ht="19.5" customHeight="1" thickBot="1">
      <c r="Q180" s="510"/>
      <c r="R180" s="510"/>
      <c r="S180" s="914" t="s">
        <v>363</v>
      </c>
      <c r="T180" s="917"/>
      <c r="U180" s="915"/>
      <c r="V180" s="583">
        <v>6</v>
      </c>
      <c r="W180" s="583">
        <v>7</v>
      </c>
      <c r="X180" s="583">
        <v>8</v>
      </c>
      <c r="Y180" s="583">
        <v>9</v>
      </c>
      <c r="Z180" s="583">
        <v>10</v>
      </c>
      <c r="AA180" s="577">
        <v>11</v>
      </c>
      <c r="AB180" s="582"/>
      <c r="AC180" s="583">
        <v>12</v>
      </c>
      <c r="AD180" s="583" t="s">
        <v>364</v>
      </c>
      <c r="AE180" s="510"/>
      <c r="AF180" s="513"/>
    </row>
    <row r="181" spans="17:32" ht="19.5" customHeight="1">
      <c r="Q181" s="510"/>
      <c r="R181" s="510"/>
      <c r="S181" s="912" t="s">
        <v>365</v>
      </c>
      <c r="T181" s="916" t="s">
        <v>366</v>
      </c>
      <c r="U181" s="576" t="s">
        <v>54</v>
      </c>
      <c r="V181" s="912" t="s">
        <v>367</v>
      </c>
      <c r="W181" s="913"/>
      <c r="X181" s="919" t="s">
        <v>368</v>
      </c>
      <c r="Y181" s="919" t="s">
        <v>369</v>
      </c>
      <c r="Z181" s="912" t="s">
        <v>370</v>
      </c>
      <c r="AA181" s="916"/>
      <c r="AB181" s="916"/>
      <c r="AC181" s="916"/>
      <c r="AD181" s="913"/>
      <c r="AE181" s="510"/>
      <c r="AF181" s="513"/>
    </row>
    <row r="182" spans="17:32" ht="19.5" customHeight="1" thickBot="1">
      <c r="Q182" s="510"/>
      <c r="R182" s="510"/>
      <c r="S182" s="921"/>
      <c r="T182" s="917"/>
      <c r="U182" s="427" t="s">
        <v>371</v>
      </c>
      <c r="V182" s="914"/>
      <c r="W182" s="915"/>
      <c r="X182" s="920"/>
      <c r="Y182" s="920"/>
      <c r="Z182" s="914" t="s">
        <v>372</v>
      </c>
      <c r="AA182" s="917"/>
      <c r="AB182" s="917"/>
      <c r="AC182" s="917"/>
      <c r="AD182" s="915"/>
      <c r="AE182" s="510"/>
      <c r="AF182" s="513"/>
    </row>
    <row r="183" spans="17:32" ht="19.5" customHeight="1">
      <c r="Q183" s="510"/>
      <c r="R183" s="510"/>
      <c r="S183" s="921"/>
      <c r="T183" s="916" t="s">
        <v>373</v>
      </c>
      <c r="U183" s="576" t="s">
        <v>54</v>
      </c>
      <c r="V183" s="919" t="s">
        <v>367</v>
      </c>
      <c r="W183" s="919" t="s">
        <v>368</v>
      </c>
      <c r="X183" s="919" t="s">
        <v>369</v>
      </c>
      <c r="Y183" s="919" t="s">
        <v>374</v>
      </c>
      <c r="Z183" s="912" t="s">
        <v>375</v>
      </c>
      <c r="AA183" s="916"/>
      <c r="AB183" s="916"/>
      <c r="AC183" s="916"/>
      <c r="AD183" s="913"/>
      <c r="AE183" s="510"/>
      <c r="AF183" s="513"/>
    </row>
    <row r="184" spans="17:32" ht="19.5" customHeight="1" thickBot="1">
      <c r="Q184" s="510"/>
      <c r="R184" s="510"/>
      <c r="S184" s="914"/>
      <c r="T184" s="917"/>
      <c r="U184" s="427" t="s">
        <v>371</v>
      </c>
      <c r="V184" s="920"/>
      <c r="W184" s="920"/>
      <c r="X184" s="920"/>
      <c r="Y184" s="920"/>
      <c r="Z184" s="914"/>
      <c r="AA184" s="917"/>
      <c r="AB184" s="917"/>
      <c r="AC184" s="917"/>
      <c r="AD184" s="915"/>
      <c r="AE184" s="510"/>
      <c r="AF184" s="513"/>
    </row>
    <row r="185" spans="17:32" ht="19.5" customHeight="1">
      <c r="Q185" s="510"/>
      <c r="R185" s="510"/>
      <c r="S185" s="912" t="s">
        <v>376</v>
      </c>
      <c r="T185" s="916" t="s">
        <v>366</v>
      </c>
      <c r="U185" s="576" t="s">
        <v>54</v>
      </c>
      <c r="V185" s="912" t="s">
        <v>367</v>
      </c>
      <c r="W185" s="916"/>
      <c r="X185" s="913"/>
      <c r="Y185" s="919" t="s">
        <v>368</v>
      </c>
      <c r="Z185" s="912" t="s">
        <v>369</v>
      </c>
      <c r="AA185" s="913"/>
      <c r="AB185" s="912" t="s">
        <v>377</v>
      </c>
      <c r="AC185" s="916"/>
      <c r="AD185" s="913"/>
      <c r="AE185" s="510"/>
      <c r="AF185" s="513"/>
    </row>
    <row r="186" spans="17:32" ht="19.5" customHeight="1" thickBot="1">
      <c r="Q186" s="510"/>
      <c r="R186" s="510"/>
      <c r="S186" s="921"/>
      <c r="T186" s="917"/>
      <c r="U186" s="427" t="s">
        <v>371</v>
      </c>
      <c r="V186" s="914"/>
      <c r="W186" s="917"/>
      <c r="X186" s="915"/>
      <c r="Y186" s="920"/>
      <c r="Z186" s="914"/>
      <c r="AA186" s="915"/>
      <c r="AB186" s="914" t="s">
        <v>378</v>
      </c>
      <c r="AC186" s="917"/>
      <c r="AD186" s="915"/>
      <c r="AE186" s="510"/>
      <c r="AF186" s="513"/>
    </row>
    <row r="187" spans="17:32" ht="19.5" customHeight="1">
      <c r="Q187" s="510"/>
      <c r="R187" s="510"/>
      <c r="S187" s="921"/>
      <c r="T187" s="916" t="s">
        <v>373</v>
      </c>
      <c r="U187" s="576" t="s">
        <v>54</v>
      </c>
      <c r="V187" s="912" t="s">
        <v>367</v>
      </c>
      <c r="W187" s="913"/>
      <c r="X187" s="919" t="s">
        <v>368</v>
      </c>
      <c r="Y187" s="919" t="s">
        <v>369</v>
      </c>
      <c r="Z187" s="912" t="s">
        <v>374</v>
      </c>
      <c r="AA187" s="913"/>
      <c r="AB187" s="912" t="s">
        <v>379</v>
      </c>
      <c r="AC187" s="916"/>
      <c r="AD187" s="913"/>
      <c r="AE187" s="510"/>
      <c r="AF187" s="513"/>
    </row>
    <row r="188" spans="17:32" ht="19.5" customHeight="1" thickBot="1">
      <c r="Q188" s="510"/>
      <c r="R188" s="510"/>
      <c r="S188" s="914"/>
      <c r="T188" s="917"/>
      <c r="U188" s="581" t="s">
        <v>371</v>
      </c>
      <c r="V188" s="914"/>
      <c r="W188" s="915"/>
      <c r="X188" s="920"/>
      <c r="Y188" s="920"/>
      <c r="Z188" s="914"/>
      <c r="AA188" s="915"/>
      <c r="AB188" s="914" t="s">
        <v>380</v>
      </c>
      <c r="AC188" s="917"/>
      <c r="AD188" s="915"/>
      <c r="AE188" s="510"/>
      <c r="AF188" s="513"/>
    </row>
    <row r="189" spans="17:32" ht="19.5" customHeight="1">
      <c r="Q189" s="510"/>
      <c r="R189" s="510"/>
      <c r="S189" s="468" t="s">
        <v>365</v>
      </c>
      <c r="T189" s="584" t="s">
        <v>381</v>
      </c>
      <c r="U189" s="585"/>
      <c r="V189" s="510"/>
      <c r="W189" s="510"/>
      <c r="X189" s="510"/>
      <c r="Y189" s="510"/>
      <c r="Z189" s="510"/>
      <c r="AA189" s="507"/>
      <c r="AB189" s="507"/>
      <c r="AC189" s="510"/>
      <c r="AD189" s="510"/>
      <c r="AE189" s="510"/>
      <c r="AF189" s="513"/>
    </row>
    <row r="190" spans="17:32" ht="19.5" customHeight="1">
      <c r="Q190" s="510"/>
      <c r="R190" s="510"/>
      <c r="S190" s="468" t="s">
        <v>376</v>
      </c>
      <c r="T190" s="584" t="s">
        <v>382</v>
      </c>
      <c r="U190" s="585"/>
      <c r="V190" s="510"/>
      <c r="W190" s="510"/>
      <c r="X190" s="510"/>
      <c r="Y190" s="510"/>
      <c r="Z190" s="510"/>
      <c r="AA190" s="507"/>
      <c r="AB190" s="507"/>
      <c r="AC190" s="510"/>
      <c r="AD190" s="510"/>
      <c r="AE190" s="510"/>
      <c r="AF190" s="513"/>
    </row>
    <row r="191" spans="17:32" ht="19.5" customHeight="1">
      <c r="Q191" s="510"/>
      <c r="R191" s="510"/>
      <c r="S191" s="468" t="s">
        <v>379</v>
      </c>
      <c r="T191" s="584" t="s">
        <v>383</v>
      </c>
      <c r="U191" s="510"/>
      <c r="V191" s="510"/>
      <c r="W191" s="510"/>
      <c r="X191" s="510"/>
      <c r="Y191" s="510"/>
      <c r="Z191" s="510"/>
      <c r="AA191" s="507"/>
      <c r="AB191" s="507"/>
      <c r="AC191" s="510"/>
      <c r="AD191" s="510"/>
      <c r="AE191" s="510"/>
      <c r="AF191" s="513"/>
    </row>
    <row r="192" spans="17:32" ht="19.5" customHeight="1">
      <c r="Q192" s="510"/>
      <c r="R192" s="510"/>
      <c r="T192" s="584"/>
      <c r="U192" s="510"/>
      <c r="V192" s="510"/>
      <c r="W192" s="510"/>
      <c r="X192" s="510"/>
      <c r="Y192" s="510"/>
      <c r="Z192" s="510"/>
      <c r="AA192" s="507"/>
      <c r="AB192" s="507"/>
      <c r="AC192" s="510"/>
      <c r="AD192" s="510"/>
      <c r="AE192" s="510"/>
      <c r="AF192" s="513"/>
    </row>
    <row r="193" spans="17:32" ht="19.5" customHeight="1">
      <c r="Q193" s="510"/>
      <c r="R193" s="510"/>
      <c r="S193" s="507"/>
      <c r="T193" s="507"/>
      <c r="U193" s="510"/>
      <c r="V193" s="510"/>
      <c r="W193" s="510"/>
      <c r="X193" s="510"/>
      <c r="Y193" s="510"/>
      <c r="Z193" s="510"/>
      <c r="AA193" s="507"/>
      <c r="AB193" s="507"/>
      <c r="AC193" s="510"/>
      <c r="AF193" s="513"/>
    </row>
    <row r="194" spans="17:32" ht="19.5" customHeight="1">
      <c r="Q194" s="510"/>
      <c r="R194" s="510"/>
      <c r="S194" s="507"/>
      <c r="T194" s="416"/>
      <c r="U194" s="510"/>
      <c r="V194" s="510"/>
      <c r="W194" s="523" t="s">
        <v>384</v>
      </c>
      <c r="X194" s="521">
        <f>COS(20*PI()/180)</f>
        <v>0.9396926207859084</v>
      </c>
      <c r="Y194" s="523" t="s">
        <v>259</v>
      </c>
      <c r="Z194" s="521">
        <f>AC70</f>
        <v>0.36397023426620234</v>
      </c>
      <c r="AA194" s="523" t="s">
        <v>385</v>
      </c>
      <c r="AB194" s="521">
        <f>SIN(20*PI()/180)</f>
        <v>0.3420201433256687</v>
      </c>
      <c r="AC194" s="754" t="s">
        <v>386</v>
      </c>
      <c r="AD194" s="755">
        <f>AA58</f>
        <v>8</v>
      </c>
      <c r="AF194" s="513"/>
    </row>
    <row r="195" spans="17:32" ht="19.5" customHeight="1">
      <c r="Q195" s="510"/>
      <c r="R195" s="510"/>
      <c r="S195" s="507"/>
      <c r="T195" s="507"/>
      <c r="U195" s="510"/>
      <c r="V195" s="510"/>
      <c r="Y195" s="586"/>
      <c r="Z195" s="586"/>
      <c r="AA195" s="148"/>
      <c r="AB195" s="148"/>
      <c r="AC195" s="510"/>
      <c r="AF195" s="513"/>
    </row>
    <row r="196" spans="17:32" ht="19.5" customHeight="1">
      <c r="Q196" s="510"/>
      <c r="R196" s="510"/>
      <c r="S196" s="507"/>
      <c r="T196" s="507"/>
      <c r="U196" s="510"/>
      <c r="V196" s="510"/>
      <c r="Y196" s="518" t="s">
        <v>248</v>
      </c>
      <c r="Z196" s="520">
        <f>AA57</f>
        <v>16.702457888778575</v>
      </c>
      <c r="AA196" s="587" t="s">
        <v>248</v>
      </c>
      <c r="AB196" s="519">
        <f>AD57</f>
        <v>63.67812070096832</v>
      </c>
      <c r="AC196" s="510"/>
      <c r="AD196" s="510"/>
      <c r="AE196" s="510"/>
      <c r="AF196" s="513"/>
    </row>
    <row r="197" spans="17:32" ht="19.5" customHeight="1">
      <c r="Q197" s="510"/>
      <c r="R197" s="510"/>
      <c r="S197" s="507"/>
      <c r="T197" s="416"/>
      <c r="U197" s="510"/>
      <c r="V197" s="510"/>
      <c r="Y197" s="504" t="s">
        <v>263</v>
      </c>
      <c r="Z197" s="588">
        <f>AA74</f>
        <v>0.25</v>
      </c>
      <c r="AA197" s="523" t="s">
        <v>264</v>
      </c>
      <c r="AB197" s="589">
        <f>AC74</f>
        <v>0.028309598094730992</v>
      </c>
      <c r="AC197" s="510"/>
      <c r="AD197" s="510"/>
      <c r="AE197" s="510"/>
      <c r="AF197" s="513"/>
    </row>
    <row r="198" spans="17:32" ht="19.5" customHeight="1">
      <c r="Q198" s="510"/>
      <c r="R198" s="510"/>
      <c r="S198" s="507"/>
      <c r="T198" s="507"/>
      <c r="U198" s="510"/>
      <c r="V198" s="510"/>
      <c r="W198" s="510"/>
      <c r="X198" s="510"/>
      <c r="Y198" s="510"/>
      <c r="Z198" s="510"/>
      <c r="AA198" s="507"/>
      <c r="AB198" s="507"/>
      <c r="AC198" s="510"/>
      <c r="AD198" s="510"/>
      <c r="AE198" s="510"/>
      <c r="AF198" s="513"/>
    </row>
    <row r="199" spans="17:32" ht="19.5" customHeight="1">
      <c r="Q199" s="510"/>
      <c r="R199" s="510"/>
      <c r="S199" s="507"/>
      <c r="T199" s="507"/>
      <c r="U199" s="510"/>
      <c r="V199" s="510"/>
      <c r="W199" s="510"/>
      <c r="X199" s="510"/>
      <c r="Y199" s="518" t="s">
        <v>243</v>
      </c>
      <c r="Z199" s="520">
        <f>$Z$197-1</f>
        <v>-0.75</v>
      </c>
      <c r="AA199" s="590"/>
      <c r="AB199" s="587" t="s">
        <v>244</v>
      </c>
      <c r="AC199" s="519">
        <f>$AB$197-1</f>
        <v>-0.971690401905269</v>
      </c>
      <c r="AE199" s="510"/>
      <c r="AF199" s="513"/>
    </row>
    <row r="200" spans="17:32" ht="19.5" customHeight="1">
      <c r="Q200" s="510"/>
      <c r="R200" s="510"/>
      <c r="S200" s="416"/>
      <c r="T200" s="507"/>
      <c r="U200" s="510"/>
      <c r="V200" s="510"/>
      <c r="W200" s="510"/>
      <c r="X200" s="510"/>
      <c r="AA200" s="507"/>
      <c r="AB200" s="507"/>
      <c r="AC200" s="507"/>
      <c r="AD200" s="510"/>
      <c r="AE200" s="510"/>
      <c r="AF200" s="513"/>
    </row>
    <row r="201" spans="17:32" ht="19.5" customHeight="1">
      <c r="Q201" s="510"/>
      <c r="R201" s="510"/>
      <c r="S201" s="507"/>
      <c r="T201" s="507"/>
      <c r="U201" s="510"/>
      <c r="V201" s="510"/>
      <c r="W201" s="510"/>
      <c r="X201" s="510"/>
      <c r="Y201" s="518" t="s">
        <v>387</v>
      </c>
      <c r="Z201" s="520">
        <f>2/Z196*(PI()/2-AB205/AD194)-PI()/3</f>
        <v>-0.8777119760545626</v>
      </c>
      <c r="AA201" s="507"/>
      <c r="AB201" s="587" t="s">
        <v>388</v>
      </c>
      <c r="AC201" s="519">
        <f>2/AB196*(PI()/2-AB205/AD194)-PI()/3</f>
        <v>-1.0027423183724573</v>
      </c>
      <c r="AD201" s="510"/>
      <c r="AE201" s="510"/>
      <c r="AF201" s="513"/>
    </row>
    <row r="202" spans="17:32" ht="19.5" customHeight="1">
      <c r="Q202" s="510"/>
      <c r="R202" s="510"/>
      <c r="S202" s="507"/>
      <c r="T202" s="507"/>
      <c r="U202" s="510"/>
      <c r="V202" s="510"/>
      <c r="W202" s="510"/>
      <c r="X202" s="510"/>
      <c r="Y202" s="510"/>
      <c r="Z202" s="510"/>
      <c r="AA202" s="507"/>
      <c r="AB202" s="507"/>
      <c r="AC202" s="510"/>
      <c r="AD202" s="510"/>
      <c r="AE202" s="510"/>
      <c r="AF202" s="513"/>
    </row>
    <row r="203" spans="17:32" ht="19.5" customHeight="1">
      <c r="Q203" s="510"/>
      <c r="R203" s="510"/>
      <c r="S203" s="507"/>
      <c r="T203" s="416"/>
      <c r="U203" s="510"/>
      <c r="V203" s="510"/>
      <c r="Y203" s="510"/>
      <c r="Z203" s="510"/>
      <c r="AA203" s="507"/>
      <c r="AB203" s="507"/>
      <c r="AC203" s="510"/>
      <c r="AD203" s="510"/>
      <c r="AE203" s="510"/>
      <c r="AF203" s="513"/>
    </row>
    <row r="204" spans="17:32" ht="19.5" customHeight="1">
      <c r="Q204" s="510"/>
      <c r="R204" s="510"/>
      <c r="S204" s="507"/>
      <c r="T204" s="416"/>
      <c r="U204" s="510"/>
      <c r="V204" s="510"/>
      <c r="Y204" s="510"/>
      <c r="Z204" s="510"/>
      <c r="AA204" s="507"/>
      <c r="AB204" s="507"/>
      <c r="AC204" s="510"/>
      <c r="AD204" s="510"/>
      <c r="AE204" s="510"/>
      <c r="AF204" s="513"/>
    </row>
    <row r="205" spans="17:32" ht="19.5" customHeight="1">
      <c r="Q205" s="510"/>
      <c r="R205" s="510"/>
      <c r="S205" s="507"/>
      <c r="T205" s="507"/>
      <c r="U205" s="510"/>
      <c r="V205" s="510"/>
      <c r="W205" s="510"/>
      <c r="X205" s="510"/>
      <c r="AA205" s="523" t="s">
        <v>389</v>
      </c>
      <c r="AB205" s="521">
        <f>PI()/4*AD194-AB209*Z194-(1-AB194)*AB207/X194</f>
        <v>1.2430678880981432</v>
      </c>
      <c r="AC205" s="510"/>
      <c r="AD205" s="510"/>
      <c r="AE205" s="510"/>
      <c r="AF205" s="513"/>
    </row>
    <row r="206" ht="19.5" customHeight="1"/>
    <row r="207" spans="27:28" ht="19.5" customHeight="1">
      <c r="AA207" s="591" t="s">
        <v>247</v>
      </c>
      <c r="AB207" s="521">
        <f>AA56</f>
        <v>2</v>
      </c>
    </row>
    <row r="208" spans="1:27" ht="19.5" customHeight="1">
      <c r="A208" s="354"/>
      <c r="B208" s="354"/>
      <c r="G208" s="1"/>
      <c r="H208" s="1"/>
      <c r="N208" s="354"/>
      <c r="O208" s="147"/>
      <c r="P208" s="147"/>
      <c r="AA208" s="449"/>
    </row>
    <row r="209" spans="1:28" ht="19.5" customHeight="1">
      <c r="A209" s="354"/>
      <c r="B209" s="354"/>
      <c r="G209" s="1"/>
      <c r="H209" s="1"/>
      <c r="N209" s="354"/>
      <c r="O209" s="147"/>
      <c r="P209" s="147"/>
      <c r="AA209" s="523" t="s">
        <v>390</v>
      </c>
      <c r="AB209" s="521">
        <f>1.25*AA58</f>
        <v>10</v>
      </c>
    </row>
    <row r="210" spans="15:30" ht="19.5" customHeight="1" thickBot="1">
      <c r="O210" s="147"/>
      <c r="P210" s="147"/>
      <c r="AD210" s="357"/>
    </row>
    <row r="211" spans="17:30" ht="19.5" customHeight="1" thickBot="1">
      <c r="Q211" s="357"/>
      <c r="R211" s="357"/>
      <c r="S211" s="416"/>
      <c r="T211" s="918" t="str">
        <f>B16</f>
        <v>Helis faktörü </v>
      </c>
      <c r="U211" s="918"/>
      <c r="V211" s="918"/>
      <c r="W211" s="593" t="s">
        <v>391</v>
      </c>
      <c r="X211" s="357"/>
      <c r="Y211" s="594" t="s">
        <v>392</v>
      </c>
      <c r="Z211" s="595">
        <f>(1.2+0.13*Z213)*Z215^(1/(1.21+(2.3/Z213)))</f>
        <v>1.7211181517600473</v>
      </c>
      <c r="AA211" s="596"/>
      <c r="AC211" s="594" t="s">
        <v>393</v>
      </c>
      <c r="AD211" s="595">
        <f>(1.2+0.13*AC213)*AC215^(1/(1.21+2.3/AC213))</f>
        <v>1.8670442272138676</v>
      </c>
    </row>
    <row r="212" spans="17:29" ht="19.5" customHeight="1">
      <c r="Q212" s="357"/>
      <c r="R212" s="357"/>
      <c r="S212" s="416"/>
      <c r="T212" s="416"/>
      <c r="U212" s="357"/>
      <c r="V212" s="357"/>
      <c r="W212" s="357"/>
      <c r="X212" s="357"/>
      <c r="Y212" s="357"/>
      <c r="Z212" s="357"/>
      <c r="AA212" s="416"/>
      <c r="AB212" s="416"/>
      <c r="AC212" s="357"/>
    </row>
    <row r="213" spans="17:29" ht="19.5" customHeight="1">
      <c r="Q213" s="357"/>
      <c r="R213" s="357"/>
      <c r="S213" s="416"/>
      <c r="T213" s="416"/>
      <c r="U213" s="357"/>
      <c r="V213" s="357"/>
      <c r="W213" s="357"/>
      <c r="X213" s="357"/>
      <c r="Y213" s="597" t="s">
        <v>394</v>
      </c>
      <c r="Z213" s="432">
        <f>Z217/Z228</f>
        <v>1.0128672338660631</v>
      </c>
      <c r="AA213" s="596"/>
      <c r="AB213" s="598" t="s">
        <v>395</v>
      </c>
      <c r="AC213" s="432">
        <f>AD217/AD228</f>
        <v>1.1500081923666203</v>
      </c>
    </row>
    <row r="214" spans="17:29" ht="19.5" customHeight="1">
      <c r="Q214" s="357"/>
      <c r="R214" s="357"/>
      <c r="S214" s="416"/>
      <c r="T214" s="416"/>
      <c r="U214" s="357"/>
      <c r="V214" s="357"/>
      <c r="W214" s="357"/>
      <c r="X214" s="357"/>
      <c r="Y214" s="357"/>
      <c r="Z214" s="357"/>
      <c r="AA214" s="416"/>
      <c r="AB214" s="416"/>
      <c r="AC214" s="357"/>
    </row>
    <row r="215" spans="17:29" ht="19.5" customHeight="1">
      <c r="Q215" s="357"/>
      <c r="R215" s="357"/>
      <c r="S215" s="416"/>
      <c r="T215" s="416"/>
      <c r="U215" s="357"/>
      <c r="V215" s="357"/>
      <c r="W215" s="357"/>
      <c r="X215" s="357"/>
      <c r="Y215" s="597" t="s">
        <v>396</v>
      </c>
      <c r="Z215" s="432">
        <f>Z217/2/Z219</f>
        <v>2.442333123712037</v>
      </c>
      <c r="AA215" s="596"/>
      <c r="AB215" s="598" t="s">
        <v>397</v>
      </c>
      <c r="AC215" s="432">
        <f>AD217/2/AD219</f>
        <v>2.834968269720657</v>
      </c>
    </row>
    <row r="216" spans="17:29" ht="19.5" customHeight="1" thickBot="1">
      <c r="Q216" s="357"/>
      <c r="R216" s="357"/>
      <c r="S216" s="416"/>
      <c r="T216" s="416"/>
      <c r="U216" s="357"/>
      <c r="V216" s="357"/>
      <c r="W216" s="357"/>
      <c r="X216" s="357"/>
      <c r="Y216" s="357"/>
      <c r="Z216" s="357"/>
      <c r="AA216" s="416"/>
      <c r="AB216" s="416"/>
      <c r="AC216" s="357"/>
    </row>
    <row r="217" spans="17:30" ht="19.5" customHeight="1" thickBot="1">
      <c r="Q217" s="357"/>
      <c r="R217" s="357"/>
      <c r="S217" s="416"/>
      <c r="T217" s="416"/>
      <c r="U217" s="357"/>
      <c r="V217" s="357"/>
      <c r="W217" s="357"/>
      <c r="X217" s="357"/>
      <c r="Y217" s="599" t="s">
        <v>398</v>
      </c>
      <c r="Z217" s="600">
        <f>Z222*AA50</f>
        <v>16.116698468338658</v>
      </c>
      <c r="AA217" s="416"/>
      <c r="AC217" s="599" t="s">
        <v>399</v>
      </c>
      <c r="AD217" s="600">
        <f>AC222*AD50</f>
        <v>17.84446681454773</v>
      </c>
    </row>
    <row r="218" spans="17:30" ht="19.5" customHeight="1" thickBot="1">
      <c r="Q218" s="357"/>
      <c r="R218" s="357"/>
      <c r="S218" s="416"/>
      <c r="T218" s="416"/>
      <c r="U218" s="357"/>
      <c r="V218" s="357"/>
      <c r="W218" s="357"/>
      <c r="X218" s="357"/>
      <c r="Y218" s="357"/>
      <c r="Z218" s="357"/>
      <c r="AA218" s="416"/>
      <c r="AC218" s="416"/>
      <c r="AD218" s="357"/>
    </row>
    <row r="219" spans="17:30" ht="19.5" customHeight="1" thickBot="1">
      <c r="Q219" s="357"/>
      <c r="R219" s="357"/>
      <c r="S219" s="416"/>
      <c r="T219" s="416"/>
      <c r="U219" s="357"/>
      <c r="V219" s="357"/>
      <c r="W219" s="357"/>
      <c r="X219" s="357"/>
      <c r="Y219" s="601" t="s">
        <v>400</v>
      </c>
      <c r="Z219" s="600">
        <f>Z221+2*Z222*Z223^2/Z224/(Z225*Z224^2-2*Z223)</f>
        <v>3.2994472195183837</v>
      </c>
      <c r="AA219" s="596"/>
      <c r="AC219" s="601" t="s">
        <v>401</v>
      </c>
      <c r="AD219" s="600">
        <f>AC221+2*AC222*AC223^2/AC224/(AC225*AC224^2-2*AC223)</f>
        <v>3.14720750230937</v>
      </c>
    </row>
    <row r="220" spans="17:29" ht="19.5" customHeight="1">
      <c r="Q220" s="357"/>
      <c r="R220" s="357"/>
      <c r="S220" s="416"/>
      <c r="T220" s="416"/>
      <c r="U220" s="357"/>
      <c r="V220" s="357"/>
      <c r="W220" s="357"/>
      <c r="X220" s="357"/>
      <c r="Y220" s="357"/>
      <c r="Z220" s="357"/>
      <c r="AA220" s="416"/>
      <c r="AB220" s="416"/>
      <c r="AC220" s="357"/>
    </row>
    <row r="221" spans="17:29" ht="19.5" customHeight="1">
      <c r="Q221" s="357"/>
      <c r="R221" s="357"/>
      <c r="S221" s="416"/>
      <c r="T221" s="416"/>
      <c r="U221" s="357"/>
      <c r="V221" s="357"/>
      <c r="W221" s="357"/>
      <c r="X221" s="357"/>
      <c r="Y221" s="602" t="s">
        <v>247</v>
      </c>
      <c r="Z221" s="512">
        <f>AA56</f>
        <v>2</v>
      </c>
      <c r="AA221" s="416"/>
      <c r="AB221" s="603" t="s">
        <v>247</v>
      </c>
      <c r="AC221" s="357">
        <f>Z221</f>
        <v>2</v>
      </c>
    </row>
    <row r="222" spans="17:29" ht="19.5" customHeight="1">
      <c r="Q222" s="357"/>
      <c r="R222" s="357"/>
      <c r="S222" s="416"/>
      <c r="T222" s="416"/>
      <c r="U222" s="357"/>
      <c r="V222" s="357"/>
      <c r="W222" s="357"/>
      <c r="X222" s="357"/>
      <c r="Y222" s="602" t="s">
        <v>250</v>
      </c>
      <c r="Z222" s="512">
        <f>AA58</f>
        <v>8</v>
      </c>
      <c r="AA222" s="416"/>
      <c r="AB222" s="603" t="s">
        <v>250</v>
      </c>
      <c r="AC222" s="512">
        <f>Z222</f>
        <v>8</v>
      </c>
    </row>
    <row r="223" spans="17:29" ht="19.5" customHeight="1">
      <c r="Q223" s="357"/>
      <c r="R223" s="357"/>
      <c r="S223" s="416"/>
      <c r="T223" s="416"/>
      <c r="U223" s="357"/>
      <c r="V223" s="357"/>
      <c r="W223" s="357"/>
      <c r="X223" s="357"/>
      <c r="Y223" s="602" t="s">
        <v>402</v>
      </c>
      <c r="Z223" s="512">
        <f>AA54</f>
        <v>-0.75</v>
      </c>
      <c r="AA223" s="416"/>
      <c r="AB223" s="603" t="s">
        <v>403</v>
      </c>
      <c r="AC223" s="512">
        <f>AD54</f>
        <v>-0.971690401905269</v>
      </c>
    </row>
    <row r="224" spans="17:29" ht="19.5" customHeight="1">
      <c r="Q224" s="357"/>
      <c r="R224" s="357"/>
      <c r="S224" s="416"/>
      <c r="T224" s="416"/>
      <c r="U224" s="357"/>
      <c r="V224" s="357"/>
      <c r="W224" s="357"/>
      <c r="X224" s="357"/>
      <c r="Y224" s="602" t="s">
        <v>404</v>
      </c>
      <c r="Z224" s="357">
        <f>COS(AA55)</f>
        <v>0.7056030777346661</v>
      </c>
      <c r="AA224" s="416"/>
      <c r="AB224" s="603" t="s">
        <v>405</v>
      </c>
      <c r="AC224" s="357">
        <f>COS(AD55)</f>
        <v>0.5741566598684078</v>
      </c>
    </row>
    <row r="225" spans="17:29" ht="19.5" customHeight="1">
      <c r="Q225" s="357"/>
      <c r="R225" s="357"/>
      <c r="S225" s="416"/>
      <c r="T225" s="416"/>
      <c r="U225" s="357"/>
      <c r="V225" s="357"/>
      <c r="W225" s="357"/>
      <c r="X225" s="357"/>
      <c r="Y225" s="602" t="s">
        <v>406</v>
      </c>
      <c r="Z225" s="512">
        <f>AA57</f>
        <v>16.702457888778575</v>
      </c>
      <c r="AA225" s="416"/>
      <c r="AB225" s="603" t="s">
        <v>407</v>
      </c>
      <c r="AC225" s="512">
        <f>AD57</f>
        <v>63.67812070096832</v>
      </c>
    </row>
    <row r="226" spans="17:29" ht="19.5" customHeight="1">
      <c r="Q226" s="357"/>
      <c r="R226" s="357"/>
      <c r="S226" s="416"/>
      <c r="T226" s="416"/>
      <c r="U226" s="357"/>
      <c r="V226" s="357"/>
      <c r="W226" s="357"/>
      <c r="X226" s="357"/>
      <c r="Y226" s="357"/>
      <c r="Z226" s="357"/>
      <c r="AA226" s="416"/>
      <c r="AB226" s="416"/>
      <c r="AC226" s="357"/>
    </row>
    <row r="227" spans="17:29" ht="19.5" customHeight="1" thickBot="1">
      <c r="Q227" s="357"/>
      <c r="R227" s="357"/>
      <c r="S227" s="416"/>
      <c r="T227" s="416"/>
      <c r="U227" s="357"/>
      <c r="V227" s="357"/>
      <c r="W227" s="357"/>
      <c r="X227" s="357"/>
      <c r="AA227" s="416"/>
      <c r="AB227" s="416"/>
      <c r="AC227" s="357"/>
    </row>
    <row r="228" spans="17:30" ht="19.5" customHeight="1" thickBot="1">
      <c r="Q228" s="357"/>
      <c r="R228" s="357"/>
      <c r="S228" s="416"/>
      <c r="T228" s="416"/>
      <c r="U228" s="357"/>
      <c r="V228" s="357"/>
      <c r="W228" s="357"/>
      <c r="X228" s="357"/>
      <c r="Y228" s="599" t="s">
        <v>408</v>
      </c>
      <c r="Z228" s="600">
        <f>Z222*AA48</f>
        <v>15.911955614184528</v>
      </c>
      <c r="AA228" s="416"/>
      <c r="AC228" s="599" t="s">
        <v>409</v>
      </c>
      <c r="AD228" s="600">
        <f>AC222*AD48</f>
        <v>15.51681712616787</v>
      </c>
    </row>
    <row r="229" ht="19.5" customHeight="1"/>
    <row r="230" spans="29:30" ht="19.5" customHeight="1" thickBot="1">
      <c r="AC230" s="1"/>
      <c r="AD230" s="1"/>
    </row>
    <row r="231" spans="17:32" ht="19.5" customHeight="1" thickBot="1">
      <c r="Q231" s="355"/>
      <c r="R231" s="355"/>
      <c r="S231" s="605"/>
      <c r="T231" s="606" t="str">
        <f>B23</f>
        <v>Diş dibi form mukavemeti</v>
      </c>
      <c r="U231" s="607"/>
      <c r="V231" s="607"/>
      <c r="W231" s="608" t="s">
        <v>100</v>
      </c>
      <c r="X231" s="357"/>
      <c r="Y231" s="357"/>
      <c r="Z231" s="357"/>
      <c r="AA231" s="416"/>
      <c r="AC231" s="594" t="s">
        <v>410</v>
      </c>
      <c r="AD231" s="788">
        <f>U237*AD242*AD245*AD255*AD258*AD270</f>
        <v>618.6366840463803</v>
      </c>
      <c r="AE231" s="357"/>
      <c r="AF231" s="1"/>
    </row>
    <row r="232" spans="17:32" ht="19.5" customHeight="1" thickBot="1">
      <c r="Q232" s="355"/>
      <c r="R232" s="355"/>
      <c r="S232" s="605"/>
      <c r="T232" s="443"/>
      <c r="U232" s="355"/>
      <c r="V232" s="355"/>
      <c r="W232" s="355"/>
      <c r="X232" s="357"/>
      <c r="Y232" s="355"/>
      <c r="Z232" s="355"/>
      <c r="AA232" s="443"/>
      <c r="AC232" s="443"/>
      <c r="AD232" s="355"/>
      <c r="AE232" s="355"/>
      <c r="AF232" s="1"/>
    </row>
    <row r="233" spans="17:32" ht="19.5" customHeight="1" thickBot="1">
      <c r="Q233" s="355"/>
      <c r="R233" s="355"/>
      <c r="S233" s="605"/>
      <c r="X233" s="357"/>
      <c r="AC233" s="594" t="s">
        <v>411</v>
      </c>
      <c r="AD233" s="609">
        <f>U238*AD242*AD245*AD255*AD258*AD270</f>
        <v>618.6366840463803</v>
      </c>
      <c r="AF233" s="1"/>
    </row>
    <row r="234" spans="17:32" ht="19.5" customHeight="1">
      <c r="Q234" s="355"/>
      <c r="R234" s="355"/>
      <c r="S234" s="605"/>
      <c r="T234" s="416"/>
      <c r="U234" s="357"/>
      <c r="V234" s="357"/>
      <c r="W234" s="357"/>
      <c r="X234" s="357"/>
      <c r="Y234" s="357"/>
      <c r="Z234" s="357"/>
      <c r="AA234" s="416"/>
      <c r="AB234" s="416"/>
      <c r="AC234" s="357"/>
      <c r="AD234" s="357"/>
      <c r="AE234" s="357"/>
      <c r="AF234" s="1"/>
    </row>
    <row r="235" spans="17:32" ht="19.5" customHeight="1">
      <c r="Q235" s="355"/>
      <c r="R235" s="355"/>
      <c r="S235" s="605"/>
      <c r="T235" s="416"/>
      <c r="U235" s="357"/>
      <c r="V235" s="357"/>
      <c r="W235" s="357"/>
      <c r="X235" s="357"/>
      <c r="Y235" s="357"/>
      <c r="Z235" s="355"/>
      <c r="AB235" s="610" t="s">
        <v>412</v>
      </c>
      <c r="AC235" s="516">
        <v>2</v>
      </c>
      <c r="AD235" s="357"/>
      <c r="AE235" s="357"/>
      <c r="AF235" s="1"/>
    </row>
    <row r="236" spans="17:32" ht="19.5" customHeight="1">
      <c r="Q236" s="355"/>
      <c r="R236" s="355"/>
      <c r="S236" s="605"/>
      <c r="T236" s="416"/>
      <c r="U236" s="357"/>
      <c r="V236" s="357"/>
      <c r="W236" s="357"/>
      <c r="X236" s="357"/>
      <c r="Y236" s="357"/>
      <c r="Z236" s="355"/>
      <c r="AB236" s="610" t="s">
        <v>413</v>
      </c>
      <c r="AC236" s="516">
        <f>AD245</f>
        <v>1</v>
      </c>
      <c r="AD236" s="357"/>
      <c r="AE236" s="357"/>
      <c r="AF236" s="1"/>
    </row>
    <row r="237" spans="17:32" ht="19.5" customHeight="1">
      <c r="Q237" s="355"/>
      <c r="R237" s="355"/>
      <c r="S237" s="605"/>
      <c r="T237" s="798" t="s">
        <v>602</v>
      </c>
      <c r="U237" s="799">
        <f>E8</f>
        <v>310</v>
      </c>
      <c r="V237" s="355" t="s">
        <v>414</v>
      </c>
      <c r="W237" s="357"/>
      <c r="X237" s="357"/>
      <c r="Y237" s="357"/>
      <c r="Z237" s="355"/>
      <c r="AB237" s="610" t="s">
        <v>415</v>
      </c>
      <c r="AC237" s="516">
        <f>AD255</f>
        <v>1</v>
      </c>
      <c r="AD237" s="357"/>
      <c r="AE237" s="357"/>
      <c r="AF237" s="1"/>
    </row>
    <row r="238" spans="17:32" ht="19.5" customHeight="1">
      <c r="Q238" s="355"/>
      <c r="R238" s="355"/>
      <c r="S238" s="605"/>
      <c r="T238" s="798" t="s">
        <v>603</v>
      </c>
      <c r="U238" s="799">
        <f>F8</f>
        <v>310</v>
      </c>
      <c r="V238" s="355" t="s">
        <v>414</v>
      </c>
      <c r="W238" s="357"/>
      <c r="X238" s="357"/>
      <c r="Y238" s="357"/>
      <c r="Z238" s="355"/>
      <c r="AB238" s="610" t="s">
        <v>416</v>
      </c>
      <c r="AC238" s="516">
        <f>AD258</f>
        <v>1.0286609312377457</v>
      </c>
      <c r="AD238" s="357"/>
      <c r="AE238" s="357"/>
      <c r="AF238" s="1"/>
    </row>
    <row r="239" spans="17:32" ht="19.5" customHeight="1">
      <c r="Q239" s="355"/>
      <c r="R239" s="355"/>
      <c r="S239" s="605"/>
      <c r="T239" s="416"/>
      <c r="U239" s="357"/>
      <c r="V239" s="357"/>
      <c r="W239" s="357"/>
      <c r="X239" s="357"/>
      <c r="Y239" s="357"/>
      <c r="Z239" s="355"/>
      <c r="AB239" s="610" t="s">
        <v>417</v>
      </c>
      <c r="AC239" s="515">
        <f>AD270</f>
        <v>0.9700000000000001</v>
      </c>
      <c r="AD239" s="357"/>
      <c r="AE239" s="357"/>
      <c r="AF239" s="1"/>
    </row>
    <row r="240" spans="17:32" ht="19.5" customHeight="1">
      <c r="Q240" s="355"/>
      <c r="R240" s="355"/>
      <c r="S240" s="605"/>
      <c r="T240" s="443"/>
      <c r="U240" s="355"/>
      <c r="V240" s="357"/>
      <c r="W240" s="357"/>
      <c r="X240" s="357"/>
      <c r="Y240" s="357"/>
      <c r="Z240" s="357"/>
      <c r="AA240" s="416"/>
      <c r="AB240" s="416"/>
      <c r="AC240" s="357"/>
      <c r="AD240" s="357"/>
      <c r="AE240" s="357"/>
      <c r="AF240" s="1"/>
    </row>
    <row r="241" spans="17:32" ht="19.5" customHeight="1" thickBot="1">
      <c r="Q241" s="355"/>
      <c r="R241" s="355"/>
      <c r="S241" s="605"/>
      <c r="T241" s="443"/>
      <c r="U241" s="355"/>
      <c r="V241" s="357"/>
      <c r="W241" s="357"/>
      <c r="X241" s="357"/>
      <c r="Y241" s="357"/>
      <c r="Z241" s="357"/>
      <c r="AA241" s="416"/>
      <c r="AB241" s="416"/>
      <c r="AC241" s="357"/>
      <c r="AD241" s="357"/>
      <c r="AE241" s="357"/>
      <c r="AF241" s="1"/>
    </row>
    <row r="242" spans="17:32" ht="19.5" customHeight="1" thickBot="1">
      <c r="Q242" s="355"/>
      <c r="R242" s="355"/>
      <c r="S242" s="605"/>
      <c r="T242" s="416"/>
      <c r="U242" s="357"/>
      <c r="V242" s="357"/>
      <c r="W242" s="357"/>
      <c r="X242" s="357"/>
      <c r="Y242" s="357"/>
      <c r="AC242" s="611" t="s">
        <v>412</v>
      </c>
      <c r="AD242" s="531">
        <v>2</v>
      </c>
      <c r="AE242" s="357"/>
      <c r="AF242" s="1"/>
    </row>
    <row r="243" spans="17:32" ht="19.5" customHeight="1">
      <c r="Q243" s="355"/>
      <c r="R243" s="355"/>
      <c r="S243" s="605"/>
      <c r="T243" s="416"/>
      <c r="U243" s="357"/>
      <c r="V243" s="357"/>
      <c r="W243" s="357"/>
      <c r="X243" s="357"/>
      <c r="Y243" s="357"/>
      <c r="Z243" s="357"/>
      <c r="AA243" s="416"/>
      <c r="AB243" s="416"/>
      <c r="AC243" s="357"/>
      <c r="AD243" s="357"/>
      <c r="AE243" s="357"/>
      <c r="AF243" s="1"/>
    </row>
    <row r="244" spans="17:32" ht="19.5" customHeight="1" thickBot="1">
      <c r="Q244" s="355"/>
      <c r="R244" s="355"/>
      <c r="S244" s="605"/>
      <c r="T244" s="416"/>
      <c r="U244" s="357"/>
      <c r="V244" s="357"/>
      <c r="W244" s="357"/>
      <c r="X244" s="357"/>
      <c r="Y244" s="357"/>
      <c r="Z244" s="357"/>
      <c r="AA244" s="416"/>
      <c r="AB244" s="416"/>
      <c r="AC244" s="357"/>
      <c r="AD244" s="357"/>
      <c r="AE244" s="357"/>
      <c r="AF244" s="1"/>
    </row>
    <row r="245" spans="17:32" ht="19.5" customHeight="1" thickBot="1">
      <c r="Q245" s="355"/>
      <c r="R245" s="355"/>
      <c r="S245" s="605"/>
      <c r="T245" s="612" t="str">
        <f>B26</f>
        <v>Dayanma süresi faktörü </v>
      </c>
      <c r="U245" s="613"/>
      <c r="V245" s="355" t="s">
        <v>418</v>
      </c>
      <c r="W245" s="355"/>
      <c r="X245" s="800" t="s">
        <v>419</v>
      </c>
      <c r="Y245" s="786">
        <f>1!F24</f>
        <v>3000000</v>
      </c>
      <c r="AC245" s="611" t="s">
        <v>413</v>
      </c>
      <c r="AD245" s="531">
        <f>IF(Y245&lt;999,IF(S252&lt;1.5,X249,IF(S252&lt;2.5,X250,X251)),IF(Y245&gt;2.9999*10^6,AA249,IF(S252&lt;1.5,AC249,IF(S252&lt;2.5,AC250,AC251))))</f>
        <v>1</v>
      </c>
      <c r="AE245" s="357"/>
      <c r="AF245" s="1"/>
    </row>
    <row r="246" spans="17:32" ht="19.5" customHeight="1" thickBot="1">
      <c r="Q246" s="355"/>
      <c r="R246" s="355"/>
      <c r="S246" s="605"/>
      <c r="T246" s="416"/>
      <c r="U246" s="357"/>
      <c r="V246" s="357"/>
      <c r="W246" s="357"/>
      <c r="X246" s="357"/>
      <c r="Y246" s="357"/>
      <c r="Z246" s="357"/>
      <c r="AA246" s="416"/>
      <c r="AB246" s="416"/>
      <c r="AC246" s="357"/>
      <c r="AD246" s="357"/>
      <c r="AE246" s="357"/>
      <c r="AF246" s="1"/>
    </row>
    <row r="247" spans="17:32" ht="19.5" customHeight="1">
      <c r="Q247" s="355"/>
      <c r="R247" s="355"/>
      <c r="S247" s="887" t="s">
        <v>351</v>
      </c>
      <c r="T247" s="888"/>
      <c r="U247" s="888"/>
      <c r="V247" s="888"/>
      <c r="W247" s="888"/>
      <c r="X247" s="888" t="s">
        <v>420</v>
      </c>
      <c r="Y247" s="888"/>
      <c r="Z247" s="888"/>
      <c r="AA247" s="888"/>
      <c r="AB247" s="890"/>
      <c r="AC247" s="355"/>
      <c r="AD247" s="355"/>
      <c r="AE247" s="355"/>
      <c r="AF247" s="1"/>
    </row>
    <row r="248" spans="17:32" ht="39.75" customHeight="1">
      <c r="Q248" s="355"/>
      <c r="R248" s="355"/>
      <c r="S248" s="889"/>
      <c r="T248" s="880"/>
      <c r="U248" s="880"/>
      <c r="V248" s="880"/>
      <c r="W248" s="880"/>
      <c r="X248" s="437" t="s">
        <v>421</v>
      </c>
      <c r="Y248" s="880" t="s">
        <v>422</v>
      </c>
      <c r="Z248" s="880"/>
      <c r="AA248" s="910" t="s">
        <v>423</v>
      </c>
      <c r="AB248" s="911"/>
      <c r="AC248" s="355"/>
      <c r="AD248" s="355"/>
      <c r="AE248" s="355"/>
      <c r="AF248" s="1"/>
    </row>
    <row r="249" spans="17:32" ht="39.75" customHeight="1">
      <c r="Q249" s="355"/>
      <c r="R249" s="355"/>
      <c r="S249" s="902" t="str">
        <f>1!L37</f>
        <v>1 - Demir döküm (GG, GGG)</v>
      </c>
      <c r="T249" s="903"/>
      <c r="U249" s="903"/>
      <c r="V249" s="903"/>
      <c r="W249" s="903"/>
      <c r="X249" s="548">
        <v>1.2</v>
      </c>
      <c r="Y249" s="900"/>
      <c r="Z249" s="900"/>
      <c r="AA249" s="904">
        <v>1</v>
      </c>
      <c r="AB249" s="905"/>
      <c r="AC249" s="546">
        <f>(3*10^6/Y245)^0.012</f>
        <v>1</v>
      </c>
      <c r="AD249" s="355"/>
      <c r="AE249" s="355"/>
      <c r="AF249" s="1"/>
    </row>
    <row r="250" spans="17:32" ht="39.75" customHeight="1">
      <c r="Q250" s="355"/>
      <c r="R250" s="355"/>
      <c r="S250" s="902" t="str">
        <f>1!L38</f>
        <v>2 - Bütün çelikler, (Rm&lt;800 N/mm2, St, GS)</v>
      </c>
      <c r="T250" s="903"/>
      <c r="U250" s="903"/>
      <c r="V250" s="903"/>
      <c r="W250" s="903"/>
      <c r="X250" s="548">
        <v>1.6</v>
      </c>
      <c r="Y250" s="900"/>
      <c r="Z250" s="900"/>
      <c r="AA250" s="904"/>
      <c r="AB250" s="905"/>
      <c r="AC250" s="546">
        <f>(3*10^6/Y245)^0.059</f>
        <v>1</v>
      </c>
      <c r="AD250" s="355"/>
      <c r="AE250" s="355"/>
      <c r="AF250" s="614"/>
    </row>
    <row r="251" spans="17:32" ht="39.75" customHeight="1" thickBot="1">
      <c r="Q251" s="355"/>
      <c r="R251" s="355"/>
      <c r="S251" s="908" t="str">
        <f>1!L39</f>
        <v>3 - Bütün sertleştirilmiş çelikler, (Rm&gt;800 N/mm2)</v>
      </c>
      <c r="T251" s="909"/>
      <c r="U251" s="909"/>
      <c r="V251" s="909"/>
      <c r="W251" s="909"/>
      <c r="X251" s="615">
        <v>2.5</v>
      </c>
      <c r="Y251" s="898"/>
      <c r="Z251" s="898"/>
      <c r="AA251" s="906"/>
      <c r="AB251" s="907"/>
      <c r="AC251" s="546">
        <f>(3*10^6/Y245)^0.115</f>
        <v>1</v>
      </c>
      <c r="AD251" s="355"/>
      <c r="AE251" s="355"/>
      <c r="AF251" s="614"/>
    </row>
    <row r="252" spans="17:32" ht="19.5" customHeight="1">
      <c r="Q252" s="355"/>
      <c r="R252" s="355"/>
      <c r="S252" s="778">
        <f>S162</f>
        <v>3</v>
      </c>
      <c r="T252" s="443"/>
      <c r="U252" s="355"/>
      <c r="V252" s="355"/>
      <c r="W252" s="355"/>
      <c r="X252" s="357"/>
      <c r="Y252" s="355"/>
      <c r="Z252" s="355"/>
      <c r="AA252" s="443"/>
      <c r="AB252" s="443"/>
      <c r="AC252" s="355"/>
      <c r="AD252" s="355"/>
      <c r="AE252" s="355"/>
      <c r="AF252" s="614"/>
    </row>
    <row r="253" spans="17:32" ht="19.5" customHeight="1">
      <c r="Q253" s="355"/>
      <c r="R253" s="355"/>
      <c r="S253" s="605"/>
      <c r="T253" s="443"/>
      <c r="U253" s="355"/>
      <c r="V253" s="355"/>
      <c r="W253" s="355"/>
      <c r="X253" s="357"/>
      <c r="Y253" s="355"/>
      <c r="Z253" s="355"/>
      <c r="AA253" s="443"/>
      <c r="AB253" s="443"/>
      <c r="AC253" s="355"/>
      <c r="AD253" s="355"/>
      <c r="AE253" s="355"/>
      <c r="AF253" s="614"/>
    </row>
    <row r="254" spans="17:32" ht="19.5" customHeight="1" thickBot="1">
      <c r="Q254" s="355"/>
      <c r="R254" s="355"/>
      <c r="S254" s="605"/>
      <c r="T254" s="443"/>
      <c r="U254" s="355"/>
      <c r="V254" s="355"/>
      <c r="W254" s="355"/>
      <c r="X254" s="357"/>
      <c r="Y254" s="355"/>
      <c r="Z254" s="355"/>
      <c r="AA254" s="443"/>
      <c r="AB254" s="616"/>
      <c r="AC254" s="617"/>
      <c r="AD254" s="355"/>
      <c r="AE254" s="355"/>
      <c r="AF254" s="614"/>
    </row>
    <row r="255" spans="17:32" ht="19.5" customHeight="1" thickBot="1">
      <c r="Q255" s="355"/>
      <c r="R255" s="355"/>
      <c r="S255" s="605"/>
      <c r="T255" s="443"/>
      <c r="U255" s="355"/>
      <c r="V255" s="355"/>
      <c r="W255" s="355"/>
      <c r="X255" s="357"/>
      <c r="Y255" s="355"/>
      <c r="Z255" s="355"/>
      <c r="AA255" s="443"/>
      <c r="AC255" s="611" t="s">
        <v>424</v>
      </c>
      <c r="AD255" s="531">
        <v>1</v>
      </c>
      <c r="AE255" s="355"/>
      <c r="AF255" s="1"/>
    </row>
    <row r="256" spans="17:32" ht="19.5" customHeight="1">
      <c r="Q256" s="355"/>
      <c r="R256" s="355"/>
      <c r="S256" s="605"/>
      <c r="T256" s="443"/>
      <c r="U256" s="355"/>
      <c r="V256" s="355"/>
      <c r="W256" s="355"/>
      <c r="X256" s="357"/>
      <c r="Y256" s="355"/>
      <c r="Z256" s="355"/>
      <c r="AA256" s="443"/>
      <c r="AB256" s="443"/>
      <c r="AC256" s="355"/>
      <c r="AD256" s="177"/>
      <c r="AE256" s="355"/>
      <c r="AF256" s="614"/>
    </row>
    <row r="257" spans="17:32" ht="19.5" customHeight="1" thickBot="1">
      <c r="Q257" s="355"/>
      <c r="R257" s="355"/>
      <c r="S257" s="605"/>
      <c r="T257" s="443"/>
      <c r="U257" s="355"/>
      <c r="V257" s="355"/>
      <c r="W257" s="355"/>
      <c r="X257" s="357"/>
      <c r="Y257" s="355"/>
      <c r="Z257" s="355"/>
      <c r="AA257" s="443"/>
      <c r="AB257" s="443"/>
      <c r="AC257" s="355"/>
      <c r="AD257" s="177"/>
      <c r="AE257" s="355"/>
      <c r="AF257" s="614"/>
    </row>
    <row r="258" spans="17:32" ht="19.5" customHeight="1" thickBot="1">
      <c r="Q258" s="355"/>
      <c r="R258" s="355"/>
      <c r="S258" s="605"/>
      <c r="T258" s="612" t="str">
        <f>B28</f>
        <v>Göreceli yüzey faktörü</v>
      </c>
      <c r="U258" s="613"/>
      <c r="V258" s="355" t="s">
        <v>425</v>
      </c>
      <c r="W258" s="355"/>
      <c r="X258" s="433" t="s">
        <v>426</v>
      </c>
      <c r="Y258" s="177">
        <f>(AA266+AC266)/2</f>
        <v>6.3</v>
      </c>
      <c r="Z258" s="355"/>
      <c r="AA258" s="443"/>
      <c r="AC258" s="611" t="s">
        <v>416</v>
      </c>
      <c r="AD258" s="531">
        <f>IF(Y258&lt;1,IF(S265&lt;1.5,Y262,IF(S265&lt;2.5,Y263,Y264)),IF(S265&lt;1.5,AD262,IF(S265&lt;2.5,AD263,AD264)))</f>
        <v>1.0286609312377457</v>
      </c>
      <c r="AE258" s="355"/>
      <c r="AF258" s="614"/>
    </row>
    <row r="259" spans="17:32" ht="19.5" customHeight="1" thickBot="1">
      <c r="Q259" s="355"/>
      <c r="R259" s="355"/>
      <c r="S259" s="605"/>
      <c r="T259" s="443"/>
      <c r="U259" s="355"/>
      <c r="V259" s="355"/>
      <c r="W259" s="355"/>
      <c r="X259" s="355"/>
      <c r="Y259" s="355"/>
      <c r="Z259" s="355"/>
      <c r="AA259" s="443"/>
      <c r="AB259" s="443"/>
      <c r="AC259" s="355"/>
      <c r="AD259" s="355"/>
      <c r="AE259" s="355"/>
      <c r="AF259" s="614"/>
    </row>
    <row r="260" spans="17:32" ht="19.5" customHeight="1">
      <c r="Q260" s="355"/>
      <c r="R260" s="355"/>
      <c r="S260" s="887" t="s">
        <v>351</v>
      </c>
      <c r="T260" s="888"/>
      <c r="U260" s="888"/>
      <c r="V260" s="888"/>
      <c r="W260" s="888"/>
      <c r="X260" s="896" t="s">
        <v>427</v>
      </c>
      <c r="Y260" s="896"/>
      <c r="Z260" s="896"/>
      <c r="AA260" s="896"/>
      <c r="AB260" s="896"/>
      <c r="AC260" s="897"/>
      <c r="AD260" s="355"/>
      <c r="AE260" s="355"/>
      <c r="AF260" s="614"/>
    </row>
    <row r="261" spans="17:32" ht="19.5" customHeight="1">
      <c r="Q261" s="355"/>
      <c r="R261" s="355"/>
      <c r="S261" s="889"/>
      <c r="T261" s="880"/>
      <c r="U261" s="880"/>
      <c r="V261" s="880"/>
      <c r="W261" s="880"/>
      <c r="X261" s="892" t="s">
        <v>428</v>
      </c>
      <c r="Y261" s="892"/>
      <c r="Z261" s="892" t="s">
        <v>429</v>
      </c>
      <c r="AA261" s="892"/>
      <c r="AB261" s="892"/>
      <c r="AC261" s="893"/>
      <c r="AD261" s="355"/>
      <c r="AE261" s="355"/>
      <c r="AF261" s="614"/>
    </row>
    <row r="262" spans="17:32" ht="24.75" customHeight="1">
      <c r="Q262" s="355"/>
      <c r="R262" s="355"/>
      <c r="S262" s="878" t="str">
        <f>1!L37</f>
        <v>1 - Demir döküm (GG, GGG)</v>
      </c>
      <c r="T262" s="879"/>
      <c r="U262" s="879"/>
      <c r="V262" s="879"/>
      <c r="W262" s="879"/>
      <c r="X262" s="618" t="s">
        <v>430</v>
      </c>
      <c r="Y262" s="619">
        <v>1.025</v>
      </c>
      <c r="Z262" s="900"/>
      <c r="AA262" s="900"/>
      <c r="AB262" s="900"/>
      <c r="AC262" s="901"/>
      <c r="AD262" s="546">
        <f>4.299-3.259*(Y258+1)^0.005</f>
        <v>1.0074460727071104</v>
      </c>
      <c r="AE262" s="355"/>
      <c r="AF262" s="620"/>
    </row>
    <row r="263" spans="17:31" ht="24.75" customHeight="1">
      <c r="Q263" s="355"/>
      <c r="R263" s="355"/>
      <c r="S263" s="878" t="str">
        <f>1!L38</f>
        <v>2 - Bütün çelikler, (Rm&lt;800 N/mm2, St, GS)</v>
      </c>
      <c r="T263" s="879"/>
      <c r="U263" s="879"/>
      <c r="V263" s="879"/>
      <c r="W263" s="879"/>
      <c r="X263" s="618" t="s">
        <v>430</v>
      </c>
      <c r="Y263" s="619">
        <v>1.07</v>
      </c>
      <c r="Z263" s="900"/>
      <c r="AA263" s="900"/>
      <c r="AB263" s="900"/>
      <c r="AC263" s="901"/>
      <c r="AD263" s="546">
        <f>5.306-4.203*(Y258+1)^0.01</f>
        <v>1.0186136729271453</v>
      </c>
      <c r="AE263" s="357"/>
    </row>
    <row r="264" spans="17:31" ht="24.75" customHeight="1" thickBot="1">
      <c r="Q264" s="355"/>
      <c r="R264" s="355"/>
      <c r="S264" s="882" t="str">
        <f>1!L39</f>
        <v>3 - Bütün sertleştirilmiş çelikler, (Rm&gt;800 N/mm2)</v>
      </c>
      <c r="T264" s="883"/>
      <c r="U264" s="883"/>
      <c r="V264" s="883"/>
      <c r="W264" s="883"/>
      <c r="X264" s="621" t="s">
        <v>430</v>
      </c>
      <c r="Y264" s="622">
        <v>1.12</v>
      </c>
      <c r="Z264" s="898"/>
      <c r="AA264" s="898"/>
      <c r="AB264" s="898"/>
      <c r="AC264" s="899"/>
      <c r="AD264" s="546">
        <f>1.674-0.529*(Y258+1)^0.1</f>
        <v>1.0286609312377457</v>
      </c>
      <c r="AE264" s="355"/>
    </row>
    <row r="265" spans="17:32" ht="19.5" customHeight="1">
      <c r="Q265" s="355"/>
      <c r="R265" s="355"/>
      <c r="S265" s="762">
        <f>S252</f>
        <v>3</v>
      </c>
      <c r="T265" s="443"/>
      <c r="U265" s="355"/>
      <c r="V265" s="355"/>
      <c r="W265" s="300"/>
      <c r="X265" s="300"/>
      <c r="AA265" s="443"/>
      <c r="AD265" s="355"/>
      <c r="AE265" s="355"/>
      <c r="AF265" s="614"/>
    </row>
    <row r="266" spans="17:32" ht="19.5" customHeight="1">
      <c r="Q266" s="355"/>
      <c r="R266" s="355"/>
      <c r="S266" s="443"/>
      <c r="T266" s="443"/>
      <c r="U266" s="355"/>
      <c r="V266" s="355"/>
      <c r="W266" s="355"/>
      <c r="X266" s="355"/>
      <c r="Y266" s="355"/>
      <c r="Z266" s="757" t="s">
        <v>566</v>
      </c>
      <c r="AA266" s="758">
        <f>1!H22</f>
        <v>6.3</v>
      </c>
      <c r="AB266" s="757" t="s">
        <v>567</v>
      </c>
      <c r="AC266" s="758">
        <f>1!H23</f>
        <v>6.3</v>
      </c>
      <c r="AD266" s="355"/>
      <c r="AE266" s="355"/>
      <c r="AF266" s="614"/>
    </row>
    <row r="267" spans="17:32" ht="19.5" customHeight="1">
      <c r="Q267" s="355"/>
      <c r="R267" s="355"/>
      <c r="S267" s="443"/>
      <c r="T267" s="443"/>
      <c r="U267" s="355"/>
      <c r="V267" s="355"/>
      <c r="W267" s="355"/>
      <c r="X267" s="355"/>
      <c r="Y267" s="355"/>
      <c r="Z267" s="355"/>
      <c r="AA267" s="443"/>
      <c r="AB267" s="443"/>
      <c r="AC267" s="355"/>
      <c r="AD267" s="355"/>
      <c r="AE267" s="355"/>
      <c r="AF267" s="614"/>
    </row>
    <row r="268" spans="17:32" ht="19.5" customHeight="1">
      <c r="Q268" s="357"/>
      <c r="R268" s="357"/>
      <c r="S268" s="416"/>
      <c r="T268" s="416"/>
      <c r="U268" s="357"/>
      <c r="V268" s="357"/>
      <c r="W268" s="357"/>
      <c r="X268" s="357"/>
      <c r="Y268" s="357"/>
      <c r="Z268" s="357"/>
      <c r="AA268" s="416"/>
      <c r="AB268" s="416"/>
      <c r="AC268" s="357"/>
      <c r="AD268" s="357"/>
      <c r="AE268" s="357"/>
      <c r="AF268" s="614"/>
    </row>
    <row r="269" spans="17:32" ht="19.5" customHeight="1" thickBot="1">
      <c r="Q269" s="357"/>
      <c r="R269" s="357"/>
      <c r="S269" s="416"/>
      <c r="T269" s="416"/>
      <c r="U269" s="357"/>
      <c r="V269" s="357"/>
      <c r="W269" s="357"/>
      <c r="X269" s="357"/>
      <c r="Y269" s="357"/>
      <c r="Z269" s="357"/>
      <c r="AA269" s="416"/>
      <c r="AB269" s="416"/>
      <c r="AC269" s="357"/>
      <c r="AD269" s="357"/>
      <c r="AE269" s="357"/>
      <c r="AF269" s="614"/>
    </row>
    <row r="270" spans="17:32" ht="19.5" customHeight="1" thickBot="1">
      <c r="Q270" s="357"/>
      <c r="R270" s="357"/>
      <c r="S270" s="416"/>
      <c r="T270" s="612" t="str">
        <f>B29</f>
        <v>Büyüklük faktörü</v>
      </c>
      <c r="U270" s="612"/>
      <c r="V270" s="443" t="s">
        <v>431</v>
      </c>
      <c r="W270" s="616" t="s">
        <v>250</v>
      </c>
      <c r="X270" s="623">
        <f>AA58</f>
        <v>8</v>
      </c>
      <c r="Y270" s="355"/>
      <c r="Z270" s="355"/>
      <c r="AA270" s="443"/>
      <c r="AC270" s="611" t="s">
        <v>417</v>
      </c>
      <c r="AD270" s="531">
        <f>IF(S277&lt;1.5,AD274,IF(S277&lt;2.5,AD275,AD276))</f>
        <v>0.9700000000000001</v>
      </c>
      <c r="AE270" s="357"/>
      <c r="AF270" s="614"/>
    </row>
    <row r="271" spans="17:32" ht="19.5" customHeight="1" thickBot="1">
      <c r="Q271" s="357"/>
      <c r="R271" s="357"/>
      <c r="S271" s="416"/>
      <c r="T271" s="416"/>
      <c r="U271" s="357"/>
      <c r="V271" s="357"/>
      <c r="W271" s="357"/>
      <c r="X271" s="357"/>
      <c r="Y271" s="357"/>
      <c r="Z271" s="357"/>
      <c r="AA271" s="416"/>
      <c r="AB271" s="416"/>
      <c r="AC271" s="357"/>
      <c r="AD271" s="357"/>
      <c r="AE271" s="357"/>
      <c r="AF271" s="614"/>
    </row>
    <row r="272" spans="17:32" ht="19.5" customHeight="1">
      <c r="Q272" s="355"/>
      <c r="R272" s="355"/>
      <c r="S272" s="887" t="s">
        <v>351</v>
      </c>
      <c r="T272" s="888"/>
      <c r="U272" s="888"/>
      <c r="V272" s="888"/>
      <c r="W272" s="888"/>
      <c r="X272" s="888" t="s">
        <v>432</v>
      </c>
      <c r="Y272" s="888"/>
      <c r="Z272" s="888"/>
      <c r="AA272" s="888"/>
      <c r="AB272" s="888"/>
      <c r="AC272" s="890"/>
      <c r="AD272" s="357"/>
      <c r="AE272" s="357"/>
      <c r="AF272" s="614"/>
    </row>
    <row r="273" spans="17:32" ht="19.5" customHeight="1">
      <c r="Q273" s="355"/>
      <c r="R273" s="355"/>
      <c r="S273" s="889"/>
      <c r="T273" s="880"/>
      <c r="U273" s="880"/>
      <c r="V273" s="880"/>
      <c r="W273" s="880"/>
      <c r="X273" s="437" t="s">
        <v>433</v>
      </c>
      <c r="Y273" s="880" t="s">
        <v>434</v>
      </c>
      <c r="Z273" s="880"/>
      <c r="AA273" s="880"/>
      <c r="AB273" s="880"/>
      <c r="AC273" s="624" t="s">
        <v>435</v>
      </c>
      <c r="AD273" s="355"/>
      <c r="AE273" s="355"/>
      <c r="AF273" s="614"/>
    </row>
    <row r="274" spans="17:32" ht="19.5" customHeight="1">
      <c r="Q274" s="355"/>
      <c r="R274" s="355"/>
      <c r="S274" s="878" t="str">
        <f>1!L37</f>
        <v>1 - Demir döküm (GG, GGG)</v>
      </c>
      <c r="T274" s="879"/>
      <c r="U274" s="879"/>
      <c r="V274" s="879"/>
      <c r="W274" s="879"/>
      <c r="X274" s="880" t="s">
        <v>436</v>
      </c>
      <c r="Y274" s="880" t="s">
        <v>437</v>
      </c>
      <c r="Z274" s="880"/>
      <c r="AA274" s="880"/>
      <c r="AB274" s="880"/>
      <c r="AC274" s="624" t="s">
        <v>438</v>
      </c>
      <c r="AD274" s="546">
        <f>IF(X270&lt;5,1,IF(X270&gt;25,0.7,1.075-0.015*X270))</f>
        <v>0.955</v>
      </c>
      <c r="AE274" s="355"/>
      <c r="AF274" s="614"/>
    </row>
    <row r="275" spans="17:32" ht="19.5" customHeight="1">
      <c r="Q275" s="355"/>
      <c r="R275" s="355"/>
      <c r="S275" s="878" t="str">
        <f>1!L38</f>
        <v>2 - Bütün çelikler, (Rm&lt;800 N/mm2, St, GS)</v>
      </c>
      <c r="T275" s="879"/>
      <c r="U275" s="879"/>
      <c r="V275" s="879"/>
      <c r="W275" s="879"/>
      <c r="X275" s="880"/>
      <c r="Y275" s="880" t="s">
        <v>439</v>
      </c>
      <c r="Z275" s="880"/>
      <c r="AA275" s="880"/>
      <c r="AB275" s="880"/>
      <c r="AC275" s="624" t="s">
        <v>440</v>
      </c>
      <c r="AD275" s="573">
        <f>IF(X270&lt;5,1,IF(X270&gt;25,0.85,1.03-0.006*X270))</f>
        <v>0.982</v>
      </c>
      <c r="AE275" s="355"/>
      <c r="AF275" s="1"/>
    </row>
    <row r="276" spans="17:32" ht="19.5" customHeight="1" thickBot="1">
      <c r="Q276" s="355"/>
      <c r="R276" s="355"/>
      <c r="S276" s="882" t="str">
        <f>1!L39</f>
        <v>3 - Bütün sertleştirilmiş çelikler, (Rm&gt;800 N/mm2)</v>
      </c>
      <c r="T276" s="883"/>
      <c r="U276" s="883"/>
      <c r="V276" s="883"/>
      <c r="W276" s="883"/>
      <c r="X276" s="881"/>
      <c r="Y276" s="881" t="s">
        <v>441</v>
      </c>
      <c r="Z276" s="881"/>
      <c r="AA276" s="881"/>
      <c r="AB276" s="881"/>
      <c r="AC276" s="625" t="s">
        <v>442</v>
      </c>
      <c r="AD276" s="573">
        <f>IF(X270&lt;5,1,IF(X270&gt;25,0.8,1.05-0.01*X270))</f>
        <v>0.9700000000000001</v>
      </c>
      <c r="AE276" s="355"/>
      <c r="AF276" s="1"/>
    </row>
    <row r="277" spans="17:32" ht="19.5" customHeight="1">
      <c r="Q277" s="355"/>
      <c r="R277" s="355"/>
      <c r="S277" s="763">
        <f>S252</f>
        <v>3</v>
      </c>
      <c r="T277" s="443"/>
      <c r="U277" s="355"/>
      <c r="V277" s="355"/>
      <c r="W277" s="355"/>
      <c r="X277" s="355"/>
      <c r="Y277" s="355"/>
      <c r="Z277" s="355"/>
      <c r="AA277" s="443"/>
      <c r="AB277" s="443"/>
      <c r="AC277" s="355"/>
      <c r="AD277" s="355"/>
      <c r="AE277" s="355"/>
      <c r="AF277" s="1"/>
    </row>
    <row r="278" spans="17:32" ht="19.5" customHeight="1">
      <c r="Q278" s="355"/>
      <c r="R278" s="355"/>
      <c r="S278" s="443"/>
      <c r="T278" s="443"/>
      <c r="U278" s="355"/>
      <c r="V278" s="355"/>
      <c r="W278" s="355"/>
      <c r="X278" s="355"/>
      <c r="Y278" s="355"/>
      <c r="Z278" s="355"/>
      <c r="AA278" s="443"/>
      <c r="AB278" s="443"/>
      <c r="AC278" s="355"/>
      <c r="AD278" s="355"/>
      <c r="AE278" s="355"/>
      <c r="AF278" s="1"/>
    </row>
    <row r="279" spans="28:30" ht="19.5" customHeight="1" thickBot="1">
      <c r="AB279" s="443"/>
      <c r="AC279" s="1"/>
      <c r="AD279" s="1"/>
    </row>
    <row r="280" spans="20:30" ht="19.5" customHeight="1" thickBot="1">
      <c r="T280" s="626" t="str">
        <f>H19</f>
        <v>İşletmede Hertz basıncı</v>
      </c>
      <c r="U280" s="592"/>
      <c r="V280" s="592"/>
      <c r="W280" s="627" t="s">
        <v>165</v>
      </c>
      <c r="X280" s="357"/>
      <c r="AC280" s="628" t="s">
        <v>443</v>
      </c>
      <c r="AD280" s="629">
        <f>AD288*(AC282*AC283*AC284*AC285)^0.5</f>
        <v>981.7314794172197</v>
      </c>
    </row>
    <row r="281" ht="19.5" customHeight="1"/>
    <row r="282" spans="28:29" ht="19.5" customHeight="1">
      <c r="AB282" s="630" t="s">
        <v>444</v>
      </c>
      <c r="AC282" s="516">
        <f>'11'!O7</f>
        <v>1.5</v>
      </c>
    </row>
    <row r="283" spans="28:31" ht="19.5" customHeight="1">
      <c r="AB283" s="630" t="s">
        <v>280</v>
      </c>
      <c r="AC283" s="516">
        <f>AD94</f>
        <v>1.0241855526543342</v>
      </c>
      <c r="AD283" s="355"/>
      <c r="AE283" s="355"/>
    </row>
    <row r="284" spans="28:31" ht="19.5" customHeight="1">
      <c r="AB284" s="630" t="s">
        <v>273</v>
      </c>
      <c r="AC284" s="516">
        <f>AD84</f>
        <v>1.7965011628299614</v>
      </c>
      <c r="AD284" s="355"/>
      <c r="AE284" s="355"/>
    </row>
    <row r="285" spans="27:31" ht="19.5" customHeight="1">
      <c r="AA285" s="443"/>
      <c r="AB285" s="630" t="s">
        <v>445</v>
      </c>
      <c r="AC285" s="516">
        <f>AD160</f>
        <v>1.2</v>
      </c>
      <c r="AD285" s="355"/>
      <c r="AE285" s="355"/>
    </row>
    <row r="286" spans="20:31" ht="19.5" customHeight="1">
      <c r="T286" s="443"/>
      <c r="U286" s="355"/>
      <c r="V286" s="355"/>
      <c r="W286" s="355"/>
      <c r="X286" s="355"/>
      <c r="Y286" s="355"/>
      <c r="Z286" s="355"/>
      <c r="AA286" s="443"/>
      <c r="AC286" s="355"/>
      <c r="AD286" s="355"/>
      <c r="AE286" s="355"/>
    </row>
    <row r="287" spans="29:31" ht="19.5" customHeight="1" thickBot="1">
      <c r="AC287" s="1"/>
      <c r="AD287" s="1"/>
      <c r="AE287" s="355"/>
    </row>
    <row r="288" spans="20:31" ht="19.5" customHeight="1" thickBot="1">
      <c r="T288" s="626" t="str">
        <f>H11</f>
        <v>Yerel Hertz basıncı</v>
      </c>
      <c r="U288" s="592"/>
      <c r="V288" s="592"/>
      <c r="W288" s="631" t="s">
        <v>446</v>
      </c>
      <c r="X288" s="357"/>
      <c r="AA288" s="443"/>
      <c r="AC288" s="628" t="s">
        <v>447</v>
      </c>
      <c r="AD288" s="629">
        <f>(V293/X294/V294/X293*(X293+1))^0.5*AD297*AD307*AD311*AD316</f>
        <v>539.4527239914756</v>
      </c>
      <c r="AE288" s="355"/>
    </row>
    <row r="289" spans="20:31" ht="19.5" customHeight="1">
      <c r="T289" s="443"/>
      <c r="U289" s="355"/>
      <c r="V289" s="586"/>
      <c r="W289" s="586"/>
      <c r="X289" s="586"/>
      <c r="Y289" s="355"/>
      <c r="Z289" s="355"/>
      <c r="AC289" s="355"/>
      <c r="AD289" s="355"/>
      <c r="AE289" s="355"/>
    </row>
    <row r="290" spans="20:31" ht="19.5" customHeight="1">
      <c r="T290" s="443"/>
      <c r="U290" s="355"/>
      <c r="V290" s="355"/>
      <c r="W290" s="355"/>
      <c r="X290" s="355"/>
      <c r="Y290" s="355"/>
      <c r="Z290" s="355"/>
      <c r="AC290" s="355"/>
      <c r="AD290" s="355"/>
      <c r="AE290" s="355"/>
    </row>
    <row r="291" spans="20:31" ht="19.5" customHeight="1">
      <c r="T291" s="616"/>
      <c r="U291" s="177"/>
      <c r="V291" s="355"/>
      <c r="W291" s="355"/>
      <c r="X291" s="355"/>
      <c r="Y291" s="433"/>
      <c r="Z291" s="177"/>
      <c r="AB291" s="610" t="s">
        <v>345</v>
      </c>
      <c r="AC291" s="516">
        <f>AD297</f>
        <v>0.8153164966922368</v>
      </c>
      <c r="AD291" s="355"/>
      <c r="AE291" s="355"/>
    </row>
    <row r="292" spans="20:31" ht="19.5" customHeight="1">
      <c r="T292" s="416"/>
      <c r="U292" s="357"/>
      <c r="V292" s="357"/>
      <c r="W292" s="357"/>
      <c r="X292" s="357"/>
      <c r="AB292" s="610" t="s">
        <v>448</v>
      </c>
      <c r="AC292" s="516">
        <f>AD307</f>
        <v>0.9922541536436198</v>
      </c>
      <c r="AD292" s="355"/>
      <c r="AE292" s="355"/>
    </row>
    <row r="293" spans="21:31" ht="19.5" customHeight="1">
      <c r="U293" s="603" t="s">
        <v>449</v>
      </c>
      <c r="V293" s="632">
        <f>E7</f>
        <v>30399.928932956413</v>
      </c>
      <c r="W293" s="602" t="s">
        <v>286</v>
      </c>
      <c r="X293" s="633">
        <f>K10</f>
        <v>3.8125</v>
      </c>
      <c r="AB293" s="610" t="s">
        <v>450</v>
      </c>
      <c r="AC293" s="516">
        <f>AD311</f>
        <v>2.396263463373117</v>
      </c>
      <c r="AD293" s="357"/>
      <c r="AE293" s="357"/>
    </row>
    <row r="294" spans="21:31" ht="19.5" customHeight="1">
      <c r="U294" s="779" t="s">
        <v>262</v>
      </c>
      <c r="V294" s="780">
        <f>AA73</f>
        <v>130.00621622184482</v>
      </c>
      <c r="W294" s="779" t="s">
        <v>271</v>
      </c>
      <c r="X294" s="780">
        <f>Z83</f>
        <v>140</v>
      </c>
      <c r="AB294" s="610" t="s">
        <v>451</v>
      </c>
      <c r="AC294" s="516">
        <f>AD316</f>
        <v>191.64567250641844</v>
      </c>
      <c r="AD294" s="355"/>
      <c r="AE294" s="355"/>
    </row>
    <row r="295" spans="30:31" ht="19.5" customHeight="1">
      <c r="AD295" s="355"/>
      <c r="AE295" s="355"/>
    </row>
    <row r="296" spans="25:31" ht="19.5" customHeight="1" thickBot="1">
      <c r="Y296" s="357"/>
      <c r="AC296" s="355"/>
      <c r="AD296" s="355"/>
      <c r="AE296" s="355"/>
    </row>
    <row r="297" spans="20:31" ht="19.5" customHeight="1" thickBot="1">
      <c r="T297" s="612" t="str">
        <f>B15</f>
        <v>Yük payı faktörü</v>
      </c>
      <c r="U297" s="613"/>
      <c r="V297" s="355" t="s">
        <v>452</v>
      </c>
      <c r="W297" s="355"/>
      <c r="X297" s="357"/>
      <c r="Y297" s="355"/>
      <c r="AC297" s="611" t="s">
        <v>345</v>
      </c>
      <c r="AD297" s="531">
        <f>IF(W303&gt;1,AA303,IF(Z311=0,AA299,AA301))</f>
        <v>0.8153164966922368</v>
      </c>
      <c r="AE297" s="355"/>
    </row>
    <row r="298" spans="24:31" ht="19.5" customHeight="1">
      <c r="X298" s="357"/>
      <c r="AC298" s="355"/>
      <c r="AD298" s="355"/>
      <c r="AE298" s="355"/>
    </row>
    <row r="299" spans="20:31" ht="19.5" customHeight="1">
      <c r="T299" s="416" t="s">
        <v>453</v>
      </c>
      <c r="U299" s="357"/>
      <c r="V299" s="355"/>
      <c r="W299" s="355"/>
      <c r="X299" s="357"/>
      <c r="Y299" s="355"/>
      <c r="Z299" s="433" t="s">
        <v>454</v>
      </c>
      <c r="AA299" s="521">
        <f>((4-Y303)/3)^0.5</f>
        <v>0.9103138236960455</v>
      </c>
      <c r="AC299" s="355"/>
      <c r="AD299" s="355"/>
      <c r="AE299" s="355"/>
    </row>
    <row r="300" spans="24:31" ht="19.5" customHeight="1">
      <c r="X300" s="357"/>
      <c r="Y300" s="357"/>
      <c r="Z300" s="357"/>
      <c r="AA300" s="416"/>
      <c r="AB300" s="416"/>
      <c r="AC300" s="357"/>
      <c r="AD300" s="357"/>
      <c r="AE300" s="357"/>
    </row>
    <row r="301" spans="20:27" ht="19.5" customHeight="1">
      <c r="T301" s="416" t="s">
        <v>455</v>
      </c>
      <c r="U301" s="357"/>
      <c r="V301" s="357"/>
      <c r="W301" s="357"/>
      <c r="X301" s="357"/>
      <c r="Z301" s="433" t="s">
        <v>454</v>
      </c>
      <c r="AA301" s="521">
        <f>((4-Y303)*(1-W303)/3+W303/Y303)^0.5</f>
        <v>0.8153164966922368</v>
      </c>
    </row>
    <row r="302" spans="20:28" ht="19.5" customHeight="1">
      <c r="T302" s="443"/>
      <c r="U302" s="355"/>
      <c r="V302" s="355"/>
      <c r="W302" s="355"/>
      <c r="X302" s="355"/>
      <c r="Y302" s="355"/>
      <c r="Z302" s="433"/>
      <c r="AA302" s="443"/>
      <c r="AB302" s="552"/>
    </row>
    <row r="303" spans="20:31" ht="19.5" customHeight="1">
      <c r="T303" s="449" t="s">
        <v>552</v>
      </c>
      <c r="U303" s="355"/>
      <c r="V303" s="759" t="s">
        <v>597</v>
      </c>
      <c r="W303" s="751">
        <f>6!D41</f>
        <v>0.9748280364410579</v>
      </c>
      <c r="X303" s="759" t="s">
        <v>598</v>
      </c>
      <c r="Y303" s="751">
        <f>6!D39</f>
        <v>1.5139862271636553</v>
      </c>
      <c r="Z303" s="433" t="s">
        <v>454</v>
      </c>
      <c r="AA303" s="521">
        <f>(1/Y303)^0.5</f>
        <v>0.8127164266444252</v>
      </c>
      <c r="AB303" s="552"/>
      <c r="AE303" s="355"/>
    </row>
    <row r="304" spans="20:21" ht="19.5" customHeight="1">
      <c r="T304" s="416"/>
      <c r="U304" s="355"/>
    </row>
    <row r="305" spans="20:21" ht="19.5" customHeight="1">
      <c r="T305" s="416"/>
      <c r="U305" s="355"/>
    </row>
    <row r="306" ht="19.5" customHeight="1" thickBot="1"/>
    <row r="307" spans="20:30" ht="19.5" customHeight="1" thickBot="1">
      <c r="T307" s="612" t="str">
        <f>B16</f>
        <v>Helis faktörü </v>
      </c>
      <c r="U307" s="613"/>
      <c r="V307" s="355" t="s">
        <v>456</v>
      </c>
      <c r="W307" s="355"/>
      <c r="X307" s="357"/>
      <c r="Y307" s="355"/>
      <c r="AC307" s="611" t="s">
        <v>457</v>
      </c>
      <c r="AD307" s="531">
        <f>(Z308)^0.5</f>
        <v>0.9922541536436198</v>
      </c>
    </row>
    <row r="308" spans="25:26" ht="19.5" customHeight="1">
      <c r="Y308" s="602" t="s">
        <v>458</v>
      </c>
      <c r="Z308" s="634">
        <f>COS(Z311*PI()/180)</f>
        <v>0.9845683054230163</v>
      </c>
    </row>
    <row r="309" ht="19.5" customHeight="1"/>
    <row r="310" spans="20:28" ht="19.5" customHeight="1" thickBot="1">
      <c r="T310" s="443"/>
      <c r="U310" s="355"/>
      <c r="V310" s="355"/>
      <c r="W310" s="357"/>
      <c r="X310" s="357"/>
      <c r="AA310" s="416"/>
      <c r="AB310" s="416"/>
    </row>
    <row r="311" spans="17:31" ht="19.5" customHeight="1" thickBot="1">
      <c r="Q311" s="355"/>
      <c r="R311" s="355"/>
      <c r="S311" s="605"/>
      <c r="T311" s="612" t="str">
        <f>H15</f>
        <v>Diş yanağı form faktörü </v>
      </c>
      <c r="U311" s="613"/>
      <c r="V311" s="355" t="s">
        <v>104</v>
      </c>
      <c r="Y311" s="781" t="s">
        <v>283</v>
      </c>
      <c r="Z311" s="784">
        <f>Y103</f>
        <v>10.0787</v>
      </c>
      <c r="AC311" s="611" t="s">
        <v>450</v>
      </c>
      <c r="AD311" s="531">
        <f>(2*Z314/Z313^2/Z312)^0.5</f>
        <v>2.396263463373117</v>
      </c>
      <c r="AE311" s="355"/>
    </row>
    <row r="312" spans="17:31" ht="19.5" customHeight="1">
      <c r="Q312" s="355"/>
      <c r="R312" s="355"/>
      <c r="S312" s="605"/>
      <c r="T312" s="416"/>
      <c r="U312" s="357"/>
      <c r="V312" s="355"/>
      <c r="W312" s="782" t="s">
        <v>583</v>
      </c>
      <c r="X312" s="756">
        <f>6!D21</f>
        <v>21.33141003814181</v>
      </c>
      <c r="Y312" s="779" t="s">
        <v>459</v>
      </c>
      <c r="Z312" s="785">
        <f>TAN(X312*PI()/180)</f>
        <v>0.3905153844134969</v>
      </c>
      <c r="AA312" s="416"/>
      <c r="AB312" s="416"/>
      <c r="AC312" s="355"/>
      <c r="AD312" s="355"/>
      <c r="AE312" s="355"/>
    </row>
    <row r="313" spans="17:31" ht="19.5" customHeight="1">
      <c r="Q313" s="355"/>
      <c r="R313" s="355"/>
      <c r="S313" s="605"/>
      <c r="T313" s="448"/>
      <c r="U313" s="355"/>
      <c r="V313" s="355"/>
      <c r="W313" s="782" t="s">
        <v>584</v>
      </c>
      <c r="X313" s="756">
        <f>6!D19</f>
        <v>20.288090348960676</v>
      </c>
      <c r="Y313" s="779" t="s">
        <v>581</v>
      </c>
      <c r="Z313" s="785">
        <f>COS(X313*PI()/180)</f>
        <v>0.9379610293044426</v>
      </c>
      <c r="AA313" s="443"/>
      <c r="AB313" s="443"/>
      <c r="AC313" s="355"/>
      <c r="AD313" s="355"/>
      <c r="AE313" s="355"/>
    </row>
    <row r="314" spans="17:31" ht="19.5" customHeight="1">
      <c r="Q314" s="355"/>
      <c r="R314" s="355"/>
      <c r="S314" s="605"/>
      <c r="T314" s="448"/>
      <c r="U314" s="355"/>
      <c r="V314" s="355"/>
      <c r="W314" s="782" t="s">
        <v>582</v>
      </c>
      <c r="X314" s="760">
        <f>6!D26</f>
        <v>9.465104415418558</v>
      </c>
      <c r="Y314" s="779" t="s">
        <v>460</v>
      </c>
      <c r="Z314" s="783">
        <f>COS(X314*PI()/180)</f>
        <v>0.9863859396714839</v>
      </c>
      <c r="AA314" s="443"/>
      <c r="AB314" s="443"/>
      <c r="AC314" s="355"/>
      <c r="AD314" s="355"/>
      <c r="AE314" s="355"/>
    </row>
    <row r="315" spans="17:31" ht="19.5" customHeight="1" thickBot="1">
      <c r="Q315" s="355"/>
      <c r="R315" s="355"/>
      <c r="S315" s="605"/>
      <c r="AC315" s="355"/>
      <c r="AD315" s="355"/>
      <c r="AE315" s="355"/>
    </row>
    <row r="316" spans="17:31" ht="19.5" customHeight="1" thickBot="1">
      <c r="Q316" s="355"/>
      <c r="R316" s="355"/>
      <c r="S316" s="605"/>
      <c r="T316" s="612" t="str">
        <f>H16</f>
        <v>Elastikiyet faktörü </v>
      </c>
      <c r="U316" s="613"/>
      <c r="V316" s="355" t="s">
        <v>105</v>
      </c>
      <c r="W316" s="355"/>
      <c r="X316" s="355"/>
      <c r="Y316" s="355"/>
      <c r="AC316" s="611" t="s">
        <v>451</v>
      </c>
      <c r="AD316" s="531">
        <f>(1/(PI()*((1-X318^2)/Z318+(1-X319^2)/Z319)))^0.5</f>
        <v>191.64567250641844</v>
      </c>
      <c r="AE316" s="355"/>
    </row>
    <row r="317" spans="17:31" ht="19.5" customHeight="1">
      <c r="Q317" s="355"/>
      <c r="R317" s="355"/>
      <c r="S317" s="605"/>
      <c r="T317" s="443"/>
      <c r="U317" s="355"/>
      <c r="Z317" s="355"/>
      <c r="AA317" s="443"/>
      <c r="AB317" s="443"/>
      <c r="AE317" s="355"/>
    </row>
    <row r="318" spans="17:31" ht="19.5" customHeight="1">
      <c r="Q318" s="355"/>
      <c r="R318" s="355"/>
      <c r="S318" s="605"/>
      <c r="T318" s="443"/>
      <c r="U318" s="355"/>
      <c r="V318" s="355"/>
      <c r="W318" s="759" t="s">
        <v>568</v>
      </c>
      <c r="X318" s="761">
        <f>1!H29</f>
        <v>0.3</v>
      </c>
      <c r="Y318" s="757" t="s">
        <v>569</v>
      </c>
      <c r="Z318" s="758">
        <f>1!H27</f>
        <v>210000</v>
      </c>
      <c r="AA318" s="443"/>
      <c r="AB318" s="443"/>
      <c r="AE318" s="355"/>
    </row>
    <row r="319" spans="17:31" ht="19.5" customHeight="1">
      <c r="Q319" s="355"/>
      <c r="R319" s="355"/>
      <c r="S319" s="605"/>
      <c r="T319" s="444"/>
      <c r="U319" s="636"/>
      <c r="V319" s="636"/>
      <c r="W319" s="759" t="s">
        <v>570</v>
      </c>
      <c r="X319" s="761">
        <f>1!H29</f>
        <v>0.3</v>
      </c>
      <c r="Y319" s="757" t="s">
        <v>571</v>
      </c>
      <c r="Z319" s="758">
        <f>1!H28</f>
        <v>210000</v>
      </c>
      <c r="AA319" s="443"/>
      <c r="AE319" s="355"/>
    </row>
    <row r="320" spans="17:31" ht="19.5" customHeight="1">
      <c r="Q320" s="355"/>
      <c r="R320" s="355"/>
      <c r="S320" s="605"/>
      <c r="T320" s="444"/>
      <c r="U320" s="636"/>
      <c r="V320" s="636"/>
      <c r="W320" s="355"/>
      <c r="X320" s="357"/>
      <c r="Y320" s="355"/>
      <c r="Z320" s="355"/>
      <c r="AA320" s="443"/>
      <c r="AE320" s="355"/>
    </row>
    <row r="321" spans="17:31" ht="19.5" customHeight="1" thickBot="1">
      <c r="Q321" s="355"/>
      <c r="R321" s="355"/>
      <c r="S321" s="605"/>
      <c r="T321" s="444"/>
      <c r="U321" s="636"/>
      <c r="V321" s="636"/>
      <c r="W321" s="355"/>
      <c r="X321" s="357"/>
      <c r="Y321" s="355"/>
      <c r="Z321" s="355"/>
      <c r="AA321" s="443"/>
      <c r="AB321" s="443"/>
      <c r="AC321" s="355"/>
      <c r="AD321" s="355"/>
      <c r="AE321" s="355"/>
    </row>
    <row r="322" spans="17:31" ht="19.5" customHeight="1" thickBot="1">
      <c r="Q322" s="355"/>
      <c r="R322" s="355"/>
      <c r="S322" s="605"/>
      <c r="T322" s="606" t="str">
        <f>H24</f>
        <v>Diş yanağı form mukavemeti</v>
      </c>
      <c r="U322" s="607"/>
      <c r="V322" s="607"/>
      <c r="W322" s="355"/>
      <c r="X322" s="357"/>
      <c r="Y322" s="355"/>
      <c r="Z322" s="355"/>
      <c r="AA322" s="443"/>
      <c r="AC322" s="637" t="s">
        <v>461</v>
      </c>
      <c r="AD322" s="638">
        <f>Z326*AD334*AD341*AD353*AD361*AD376</f>
        <v>1239.3324185337178</v>
      </c>
      <c r="AE322" s="355"/>
    </row>
    <row r="323" spans="17:31" ht="19.5" customHeight="1" thickBot="1">
      <c r="Q323" s="355"/>
      <c r="R323" s="355"/>
      <c r="S323" s="605"/>
      <c r="W323" s="355"/>
      <c r="X323" s="357"/>
      <c r="Y323" s="355"/>
      <c r="Z323" s="355"/>
      <c r="AA323" s="443"/>
      <c r="AC323" s="443"/>
      <c r="AD323" s="355"/>
      <c r="AE323" s="355"/>
    </row>
    <row r="324" spans="17:31" ht="19.5" customHeight="1" thickBot="1">
      <c r="Q324" s="355"/>
      <c r="R324" s="355"/>
      <c r="S324" s="605"/>
      <c r="W324" s="355"/>
      <c r="X324" s="357"/>
      <c r="Y324" s="355"/>
      <c r="Z324" s="355"/>
      <c r="AA324" s="443"/>
      <c r="AC324" s="637" t="s">
        <v>462</v>
      </c>
      <c r="AD324" s="638">
        <f>Z327*AD334*AD341*AD353*AD361*AD376</f>
        <v>1239.3324185337178</v>
      </c>
      <c r="AE324" s="355"/>
    </row>
    <row r="325" spans="17:31" ht="19.5" customHeight="1">
      <c r="Q325" s="355"/>
      <c r="R325" s="355"/>
      <c r="S325" s="605"/>
      <c r="T325" s="443"/>
      <c r="U325" s="355"/>
      <c r="V325" s="355"/>
      <c r="W325" s="355"/>
      <c r="X325" s="357"/>
      <c r="Y325" s="355"/>
      <c r="Z325" s="355"/>
      <c r="AA325" s="443"/>
      <c r="AB325" s="443"/>
      <c r="AC325" s="355"/>
      <c r="AD325" s="355"/>
      <c r="AE325" s="355"/>
    </row>
    <row r="326" spans="17:31" ht="19.5" customHeight="1">
      <c r="Q326" s="355"/>
      <c r="R326" s="355"/>
      <c r="S326" s="605"/>
      <c r="Y326" s="781" t="s">
        <v>585</v>
      </c>
      <c r="Z326" s="894">
        <f>IF(AB134&lt;850,850,IF(AB134&gt;1200,1200,AB134))</f>
        <v>1100</v>
      </c>
      <c r="AA326" s="894"/>
      <c r="AB326" s="610" t="s">
        <v>463</v>
      </c>
      <c r="AC326" s="516">
        <f>AD334</f>
        <v>1.2370058841467824</v>
      </c>
      <c r="AE326" s="355"/>
    </row>
    <row r="327" spans="17:31" ht="19.5" customHeight="1">
      <c r="Q327" s="355"/>
      <c r="R327" s="355"/>
      <c r="S327" s="605"/>
      <c r="T327" s="443"/>
      <c r="U327" s="355"/>
      <c r="V327" s="355"/>
      <c r="W327" s="355"/>
      <c r="X327" s="357"/>
      <c r="Y327" s="781" t="s">
        <v>586</v>
      </c>
      <c r="Z327" s="894">
        <f>IF(AD134&lt;850,850,IF(AD134&gt;1200,1200,AD134))</f>
        <v>1100</v>
      </c>
      <c r="AA327" s="894"/>
      <c r="AB327" s="610" t="s">
        <v>464</v>
      </c>
      <c r="AC327" s="516">
        <f>AD341</f>
        <v>1.016700364431487</v>
      </c>
      <c r="AE327" s="355"/>
    </row>
    <row r="328" spans="17:31" ht="19.5" customHeight="1">
      <c r="Q328" s="355"/>
      <c r="R328" s="355"/>
      <c r="S328" s="605"/>
      <c r="Y328" s="355"/>
      <c r="Z328" s="355"/>
      <c r="AA328" s="443"/>
      <c r="AB328" s="610" t="s">
        <v>465</v>
      </c>
      <c r="AC328" s="516">
        <f>AD353</f>
        <v>0.9573488583488853</v>
      </c>
      <c r="AE328" s="355"/>
    </row>
    <row r="329" spans="17:31" ht="19.5" customHeight="1">
      <c r="Q329" s="355"/>
      <c r="R329" s="355"/>
      <c r="S329" s="605"/>
      <c r="Y329" s="355"/>
      <c r="Z329" s="355"/>
      <c r="AA329" s="443"/>
      <c r="AB329" s="610" t="s">
        <v>466</v>
      </c>
      <c r="AC329" s="516">
        <f>AD361</f>
        <v>0.9646914341988925</v>
      </c>
      <c r="AE329" s="355"/>
    </row>
    <row r="330" spans="17:31" ht="19.5" customHeight="1">
      <c r="Q330" s="355"/>
      <c r="R330" s="355"/>
      <c r="S330" s="605"/>
      <c r="Y330" s="355"/>
      <c r="Z330" s="355"/>
      <c r="AA330" s="443"/>
      <c r="AB330" s="610" t="s">
        <v>467</v>
      </c>
      <c r="AC330" s="516">
        <f>AD372</f>
        <v>1</v>
      </c>
      <c r="AE330" s="355"/>
    </row>
    <row r="331" spans="17:31" ht="19.5" customHeight="1">
      <c r="Q331" s="355"/>
      <c r="R331" s="355"/>
      <c r="S331" s="605"/>
      <c r="Y331" s="355"/>
      <c r="Z331" s="355"/>
      <c r="AA331" s="443"/>
      <c r="AB331" s="610" t="s">
        <v>468</v>
      </c>
      <c r="AC331" s="516">
        <f>AD376</f>
        <v>0.9700000000000001</v>
      </c>
      <c r="AE331" s="355"/>
    </row>
    <row r="332" spans="17:31" ht="19.5" customHeight="1">
      <c r="Q332" s="355"/>
      <c r="R332" s="355"/>
      <c r="S332" s="605"/>
      <c r="T332" s="443"/>
      <c r="U332" s="355"/>
      <c r="V332" s="355"/>
      <c r="W332" s="355"/>
      <c r="X332" s="357"/>
      <c r="Y332" s="355"/>
      <c r="Z332" s="355"/>
      <c r="AA332" s="443"/>
      <c r="AB332" s="443"/>
      <c r="AC332" s="355"/>
      <c r="AD332" s="355"/>
      <c r="AE332" s="355"/>
    </row>
    <row r="333" spans="17:31" ht="19.5" customHeight="1" thickBot="1">
      <c r="Q333" s="355"/>
      <c r="R333" s="355"/>
      <c r="S333" s="605"/>
      <c r="T333" s="416"/>
      <c r="U333" s="355"/>
      <c r="V333" s="355"/>
      <c r="W333" s="355"/>
      <c r="X333" s="357"/>
      <c r="AA333" s="443"/>
      <c r="AC333" s="355"/>
      <c r="AD333" s="355"/>
      <c r="AE333" s="355"/>
    </row>
    <row r="334" spans="17:30" ht="19.5" customHeight="1" thickBot="1">
      <c r="Q334" s="355"/>
      <c r="R334" s="355"/>
      <c r="T334" s="729" t="str">
        <f>H26</f>
        <v>Dayanma süresi faktörü </v>
      </c>
      <c r="U334" s="640"/>
      <c r="V334" s="355" t="s">
        <v>469</v>
      </c>
      <c r="W334" s="433" t="s">
        <v>419</v>
      </c>
      <c r="X334" s="355">
        <f>Y245</f>
        <v>3000000</v>
      </c>
      <c r="AA334" s="443"/>
      <c r="AC334" s="611" t="s">
        <v>463</v>
      </c>
      <c r="AD334" s="531">
        <f>IF(X334&lt;10^5,1.6,IF(X334&gt;=5*10^7,1,(5*10^7/X334)^0.0756))</f>
        <v>1.2370058841467824</v>
      </c>
    </row>
    <row r="335" spans="17:31" ht="19.5" customHeight="1" thickBot="1">
      <c r="Q335" s="355"/>
      <c r="R335" s="355"/>
      <c r="S335" s="605"/>
      <c r="T335" s="443"/>
      <c r="U335" s="355"/>
      <c r="V335" s="355"/>
      <c r="W335" s="355"/>
      <c r="X335" s="357"/>
      <c r="Y335" s="355"/>
      <c r="Z335" s="355"/>
      <c r="AA335" s="443"/>
      <c r="AC335" s="443"/>
      <c r="AD335" s="355"/>
      <c r="AE335" s="355"/>
    </row>
    <row r="336" spans="17:31" ht="19.5" customHeight="1">
      <c r="Q336" s="355"/>
      <c r="R336" s="355"/>
      <c r="S336" s="605"/>
      <c r="T336" s="895" t="s">
        <v>470</v>
      </c>
      <c r="U336" s="896"/>
      <c r="V336" s="896" t="s">
        <v>471</v>
      </c>
      <c r="W336" s="896"/>
      <c r="X336" s="896"/>
      <c r="Y336" s="897"/>
      <c r="Z336" s="355"/>
      <c r="AA336" s="443"/>
      <c r="AC336" s="443"/>
      <c r="AD336" s="355"/>
      <c r="AE336" s="355"/>
    </row>
    <row r="337" spans="17:31" ht="19.5" customHeight="1">
      <c r="Q337" s="355"/>
      <c r="R337" s="355"/>
      <c r="S337" s="605"/>
      <c r="T337" s="891" t="s">
        <v>472</v>
      </c>
      <c r="U337" s="892"/>
      <c r="V337" s="892" t="s">
        <v>473</v>
      </c>
      <c r="W337" s="892"/>
      <c r="X337" s="892"/>
      <c r="Y337" s="893"/>
      <c r="AA337" s="443"/>
      <c r="AC337" s="468"/>
      <c r="AD337" s="355"/>
      <c r="AE337" s="355"/>
    </row>
    <row r="338" spans="17:31" ht="19.5" customHeight="1">
      <c r="Q338" s="355"/>
      <c r="R338" s="355"/>
      <c r="S338" s="605"/>
      <c r="T338" s="891" t="s">
        <v>474</v>
      </c>
      <c r="U338" s="892"/>
      <c r="V338" s="892" t="s">
        <v>475</v>
      </c>
      <c r="W338" s="892"/>
      <c r="X338" s="892"/>
      <c r="Y338" s="893"/>
      <c r="AA338" s="443"/>
      <c r="AC338" s="443"/>
      <c r="AD338" s="355"/>
      <c r="AE338" s="355"/>
    </row>
    <row r="339" spans="17:31" ht="19.5" customHeight="1" thickBot="1">
      <c r="Q339" s="355"/>
      <c r="R339" s="355"/>
      <c r="S339" s="605"/>
      <c r="T339" s="884" t="s">
        <v>476</v>
      </c>
      <c r="U339" s="885"/>
      <c r="V339" s="885" t="s">
        <v>477</v>
      </c>
      <c r="W339" s="885"/>
      <c r="X339" s="885"/>
      <c r="Y339" s="886"/>
      <c r="Z339" s="355"/>
      <c r="AA339" s="443"/>
      <c r="AC339" s="443"/>
      <c r="AD339" s="355"/>
      <c r="AE339" s="355"/>
    </row>
    <row r="340" spans="17:31" ht="19.5" customHeight="1" thickBot="1">
      <c r="Q340" s="355"/>
      <c r="R340" s="355"/>
      <c r="AC340" s="468"/>
      <c r="AD340" s="355"/>
      <c r="AE340" s="355"/>
    </row>
    <row r="341" spans="17:30" ht="19.5" customHeight="1" thickBot="1">
      <c r="Q341" s="355"/>
      <c r="R341" s="355"/>
      <c r="T341" s="639" t="str">
        <f>H27</f>
        <v>Yağlama faktörü</v>
      </c>
      <c r="U341" s="640"/>
      <c r="V341" s="355" t="s">
        <v>106</v>
      </c>
      <c r="X341" s="759" t="s">
        <v>572</v>
      </c>
      <c r="Y341" s="758">
        <f>1!D9</f>
        <v>50</v>
      </c>
      <c r="AC341" s="611" t="s">
        <v>464</v>
      </c>
      <c r="AD341" s="531">
        <f>IF(Y341=50,AB343,AB347)</f>
        <v>1.016700364431487</v>
      </c>
    </row>
    <row r="342" spans="17:31" ht="19.5" customHeight="1">
      <c r="Q342" s="355"/>
      <c r="R342" s="355"/>
      <c r="S342" s="605"/>
      <c r="T342" s="443"/>
      <c r="U342" s="355"/>
      <c r="V342" s="355" t="str">
        <f>0!C111</f>
        <v>Yağ ve Viskositesi</v>
      </c>
      <c r="W342" s="355"/>
      <c r="X342" s="635" t="s">
        <v>554</v>
      </c>
      <c r="Y342" s="177">
        <v>50</v>
      </c>
      <c r="Z342" s="764">
        <f>1!F9</f>
        <v>120</v>
      </c>
      <c r="AA342" s="443"/>
      <c r="AB342" s="552"/>
      <c r="AC342" s="355"/>
      <c r="AD342" s="355"/>
      <c r="AE342" s="355"/>
    </row>
    <row r="343" spans="17:31" ht="19.5" customHeight="1">
      <c r="Q343" s="355"/>
      <c r="R343" s="355"/>
      <c r="S343" s="605"/>
      <c r="T343" s="443"/>
      <c r="U343" s="355"/>
      <c r="V343" s="355"/>
      <c r="W343" s="355"/>
      <c r="X343" s="357"/>
      <c r="Y343" s="355"/>
      <c r="Z343" s="433" t="s">
        <v>478</v>
      </c>
      <c r="AA343" s="521">
        <f>AA350+4*(1-AA350)/(1.2+80/Z342)^2</f>
        <v>1.016700364431487</v>
      </c>
      <c r="AB343" s="507">
        <f>IF(AA343&lt;AA344,AA343,AA344)</f>
        <v>1.016700364431487</v>
      </c>
      <c r="AC343" s="355"/>
      <c r="AD343" s="355"/>
      <c r="AE343" s="355"/>
    </row>
    <row r="344" spans="17:31" ht="19.5" customHeight="1">
      <c r="Q344" s="355"/>
      <c r="R344" s="355"/>
      <c r="S344" s="605"/>
      <c r="T344" s="443"/>
      <c r="U344" s="355"/>
      <c r="V344" s="355"/>
      <c r="W344" s="355"/>
      <c r="X344" s="357"/>
      <c r="Y344" s="355"/>
      <c r="Z344" s="433" t="s">
        <v>479</v>
      </c>
      <c r="AA344" s="521">
        <f>AA351+4*(1-AA351)/(1.2+80/Z342)^2</f>
        <v>1.016700364431487</v>
      </c>
      <c r="AB344" s="552"/>
      <c r="AC344" s="355"/>
      <c r="AD344" s="355"/>
      <c r="AE344" s="355"/>
    </row>
    <row r="345" spans="17:31" ht="19.5" customHeight="1">
      <c r="Q345" s="355"/>
      <c r="R345" s="355"/>
      <c r="S345" s="605"/>
      <c r="U345" s="355"/>
      <c r="Z345" s="433"/>
      <c r="AA345" s="443"/>
      <c r="AB345" s="552"/>
      <c r="AC345" s="355"/>
      <c r="AD345" s="355"/>
      <c r="AE345" s="355"/>
    </row>
    <row r="346" spans="17:31" ht="19.5" customHeight="1">
      <c r="Q346" s="355"/>
      <c r="R346" s="355"/>
      <c r="S346" s="605"/>
      <c r="T346" s="443"/>
      <c r="U346" s="355"/>
      <c r="V346" s="355" t="str">
        <f>0!C111</f>
        <v>Yağ ve Viskositesi</v>
      </c>
      <c r="X346" s="781" t="s">
        <v>554</v>
      </c>
      <c r="Y346" s="786">
        <f>Y341</f>
        <v>50</v>
      </c>
      <c r="Z346" s="355">
        <f>Z342</f>
        <v>120</v>
      </c>
      <c r="AA346" s="443"/>
      <c r="AB346" s="443"/>
      <c r="AC346" s="355"/>
      <c r="AD346" s="355"/>
      <c r="AE346" s="355"/>
    </row>
    <row r="347" spans="17:31" ht="19.5" customHeight="1">
      <c r="Q347" s="355"/>
      <c r="R347" s="355"/>
      <c r="S347" s="605"/>
      <c r="W347" s="355"/>
      <c r="X347" s="357"/>
      <c r="Y347" s="355"/>
      <c r="Z347" s="433" t="s">
        <v>480</v>
      </c>
      <c r="AA347" s="521">
        <f>AA350+4*(1-AA350)/(1.2+134/Z346)^2</f>
        <v>0.9712519900626262</v>
      </c>
      <c r="AB347" s="507">
        <f>IF(AA347&lt;AA348,AA347,AA348)</f>
        <v>0.9712519900626262</v>
      </c>
      <c r="AC347" s="355"/>
      <c r="AD347" s="355"/>
      <c r="AE347" s="355"/>
    </row>
    <row r="348" spans="17:31" ht="19.5" customHeight="1">
      <c r="Q348" s="355"/>
      <c r="R348" s="355"/>
      <c r="S348" s="605"/>
      <c r="T348" s="416"/>
      <c r="U348" s="355"/>
      <c r="V348" s="355"/>
      <c r="W348" s="355"/>
      <c r="X348" s="357"/>
      <c r="Y348" s="355"/>
      <c r="Z348" s="433" t="s">
        <v>481</v>
      </c>
      <c r="AA348" s="521">
        <f>AA351+4*(1-AA351)/(1.2+134/Z346)^2</f>
        <v>0.9712519900626262</v>
      </c>
      <c r="AC348" s="355"/>
      <c r="AD348" s="355"/>
      <c r="AE348" s="355"/>
    </row>
    <row r="349" spans="17:31" ht="19.5" customHeight="1">
      <c r="Q349" s="355"/>
      <c r="R349" s="355"/>
      <c r="S349" s="605"/>
      <c r="T349" s="443"/>
      <c r="U349" s="355"/>
      <c r="X349" s="357"/>
      <c r="AC349" s="355"/>
      <c r="AD349" s="355"/>
      <c r="AE349" s="355"/>
    </row>
    <row r="350" spans="17:31" ht="19.5" customHeight="1">
      <c r="Q350" s="355"/>
      <c r="R350" s="355"/>
      <c r="S350" s="605"/>
      <c r="T350" s="416"/>
      <c r="U350" s="355"/>
      <c r="V350" s="355"/>
      <c r="W350" s="355"/>
      <c r="X350" s="355"/>
      <c r="Y350" s="355"/>
      <c r="Z350" s="433" t="s">
        <v>482</v>
      </c>
      <c r="AA350" s="521">
        <f>Z326/4375+0.6357</f>
        <v>0.8871285714285715</v>
      </c>
      <c r="AC350" s="355"/>
      <c r="AD350" s="355"/>
      <c r="AE350" s="355"/>
    </row>
    <row r="351" spans="17:31" ht="19.5" customHeight="1">
      <c r="Q351" s="355"/>
      <c r="R351" s="355"/>
      <c r="S351" s="605"/>
      <c r="T351" s="416"/>
      <c r="U351" s="355"/>
      <c r="V351" s="355"/>
      <c r="W351" s="355"/>
      <c r="X351" s="357"/>
      <c r="Y351" s="355"/>
      <c r="Z351" s="433" t="s">
        <v>483</v>
      </c>
      <c r="AA351" s="521">
        <f>Z327/4375+0.6357</f>
        <v>0.8871285714285715</v>
      </c>
      <c r="AC351" s="355"/>
      <c r="AD351" s="355"/>
      <c r="AE351" s="355"/>
    </row>
    <row r="352" spans="17:31" ht="19.5" customHeight="1" thickBot="1">
      <c r="Q352" s="355"/>
      <c r="R352" s="355"/>
      <c r="S352" s="605"/>
      <c r="T352" s="443"/>
      <c r="U352" s="355"/>
      <c r="V352" s="355"/>
      <c r="W352" s="355"/>
      <c r="X352" s="357"/>
      <c r="Y352" s="355"/>
      <c r="AC352" s="355"/>
      <c r="AD352" s="355"/>
      <c r="AE352" s="355"/>
    </row>
    <row r="353" spans="17:31" ht="19.5" customHeight="1" thickBot="1">
      <c r="Q353" s="355"/>
      <c r="R353" s="355"/>
      <c r="T353" s="639" t="str">
        <f>H28</f>
        <v>Hız faktörü</v>
      </c>
      <c r="U353" s="640"/>
      <c r="V353" s="355" t="s">
        <v>107</v>
      </c>
      <c r="W353" s="355"/>
      <c r="X353" s="357"/>
      <c r="Y353" s="355"/>
      <c r="Z353" s="355"/>
      <c r="AA353" s="443"/>
      <c r="AC353" s="611" t="s">
        <v>465</v>
      </c>
      <c r="AD353" s="531">
        <f>IF(AA354&lt;AA355,AA354,AA355)</f>
        <v>0.9573488583488853</v>
      </c>
      <c r="AE353" s="355"/>
    </row>
    <row r="354" spans="17:31" ht="19.5" customHeight="1">
      <c r="Q354" s="355"/>
      <c r="R354" s="355"/>
      <c r="S354" s="605"/>
      <c r="W354" s="1"/>
      <c r="X354" s="1"/>
      <c r="Z354" s="433" t="s">
        <v>484</v>
      </c>
      <c r="AA354" s="521">
        <f>AA357+2*(1-AA357)/(0.8+32/W356)^0.5</f>
        <v>0.9573488583488853</v>
      </c>
      <c r="AC354" s="355"/>
      <c r="AD354" s="355"/>
      <c r="AE354" s="355"/>
    </row>
    <row r="355" spans="17:31" ht="19.5" customHeight="1">
      <c r="Q355" s="355"/>
      <c r="R355" s="355"/>
      <c r="S355" s="605"/>
      <c r="T355" s="443"/>
      <c r="U355" s="355"/>
      <c r="V355" s="355"/>
      <c r="Z355" s="433" t="s">
        <v>485</v>
      </c>
      <c r="AA355" s="521">
        <f>AA358+2*(1-AA358)/(0.8+32/W356)^0.5</f>
        <v>0.9573488583488853</v>
      </c>
      <c r="AC355" s="355"/>
      <c r="AD355" s="355"/>
      <c r="AE355" s="355"/>
    </row>
    <row r="356" spans="17:31" ht="19.5" customHeight="1">
      <c r="Q356" s="355"/>
      <c r="R356" s="355"/>
      <c r="S356" s="605"/>
      <c r="T356" s="416"/>
      <c r="U356" s="355"/>
      <c r="V356" s="433" t="s">
        <v>327</v>
      </c>
      <c r="W356" s="510">
        <f>Y105</f>
        <v>2.484594990638286</v>
      </c>
      <c r="X356" s="355" t="s">
        <v>486</v>
      </c>
      <c r="AC356" s="355"/>
      <c r="AD356" s="355"/>
      <c r="AE356" s="355"/>
    </row>
    <row r="357" spans="17:31" ht="19.5" customHeight="1">
      <c r="Q357" s="355"/>
      <c r="R357" s="355"/>
      <c r="S357" s="605"/>
      <c r="T357" s="443"/>
      <c r="U357" s="355"/>
      <c r="V357" s="355"/>
      <c r="Z357" s="433" t="s">
        <v>487</v>
      </c>
      <c r="AA357" s="521">
        <f>AA350+0.02</f>
        <v>0.9071285714285715</v>
      </c>
      <c r="AC357" s="355"/>
      <c r="AD357" s="355"/>
      <c r="AE357" s="355"/>
    </row>
    <row r="358" spans="17:31" ht="19.5" customHeight="1">
      <c r="Q358" s="355"/>
      <c r="R358" s="355"/>
      <c r="S358" s="605"/>
      <c r="T358" s="416"/>
      <c r="U358" s="355"/>
      <c r="V358" s="355"/>
      <c r="Z358" s="433" t="s">
        <v>488</v>
      </c>
      <c r="AA358" s="521">
        <f>AA351+0.02</f>
        <v>0.9071285714285715</v>
      </c>
      <c r="AC358" s="355"/>
      <c r="AD358" s="355"/>
      <c r="AE358" s="355"/>
    </row>
    <row r="359" spans="17:31" ht="19.5" customHeight="1">
      <c r="Q359" s="355"/>
      <c r="R359" s="355"/>
      <c r="S359" s="605"/>
      <c r="T359" s="443"/>
      <c r="U359" s="355"/>
      <c r="V359" s="355"/>
      <c r="AC359" s="355"/>
      <c r="AD359" s="355"/>
      <c r="AE359" s="355"/>
    </row>
    <row r="360" spans="17:31" ht="19.5" customHeight="1" thickBot="1">
      <c r="Q360" s="355"/>
      <c r="R360" s="355"/>
      <c r="S360" s="605"/>
      <c r="T360" s="416"/>
      <c r="U360" s="355"/>
      <c r="V360" s="355"/>
      <c r="AC360" s="355"/>
      <c r="AD360" s="355"/>
      <c r="AE360" s="355"/>
    </row>
    <row r="361" spans="17:31" ht="19.5" customHeight="1" thickBot="1">
      <c r="Q361" s="355"/>
      <c r="R361" s="355"/>
      <c r="T361" s="639" t="str">
        <f>H29</f>
        <v>Kalite faktörü</v>
      </c>
      <c r="U361" s="640"/>
      <c r="V361" s="355" t="s">
        <v>108</v>
      </c>
      <c r="W361" s="355"/>
      <c r="X361" s="357"/>
      <c r="Y361" s="355"/>
      <c r="AC361" s="611" t="s">
        <v>466</v>
      </c>
      <c r="AD361" s="531">
        <f>IF(AA363&lt;AA364,AA363,AA364)</f>
        <v>0.9646914341988925</v>
      </c>
      <c r="AE361" s="355"/>
    </row>
    <row r="362" spans="17:31" ht="19.5" customHeight="1">
      <c r="Q362" s="355"/>
      <c r="R362" s="355"/>
      <c r="S362" s="605"/>
      <c r="T362" s="443"/>
      <c r="U362" s="355"/>
      <c r="V362" s="355"/>
      <c r="W362" s="355"/>
      <c r="X362" s="357"/>
      <c r="Y362" s="355"/>
      <c r="Z362" s="355"/>
      <c r="AA362" s="443"/>
      <c r="AB362" s="443"/>
      <c r="AC362" s="355"/>
      <c r="AD362" s="355"/>
      <c r="AE362" s="355"/>
    </row>
    <row r="363" spans="17:31" ht="19.5" customHeight="1">
      <c r="Q363" s="355"/>
      <c r="R363" s="355"/>
      <c r="S363" s="605"/>
      <c r="W363" s="355"/>
      <c r="X363" s="357"/>
      <c r="Y363" s="355"/>
      <c r="Z363" s="433" t="s">
        <v>489</v>
      </c>
      <c r="AA363" s="552">
        <f>(3/AA365)^AA367</f>
        <v>0.9646914341988925</v>
      </c>
      <c r="AC363" s="355"/>
      <c r="AD363" s="355"/>
      <c r="AE363" s="355"/>
    </row>
    <row r="364" spans="17:31" ht="19.5" customHeight="1">
      <c r="Q364" s="355"/>
      <c r="R364" s="355"/>
      <c r="S364" s="605"/>
      <c r="T364" s="443"/>
      <c r="U364" s="355"/>
      <c r="V364" s="355"/>
      <c r="W364" s="757" t="s">
        <v>490</v>
      </c>
      <c r="X364" s="758">
        <f>6!D12</f>
        <v>315</v>
      </c>
      <c r="Z364" s="433" t="s">
        <v>491</v>
      </c>
      <c r="AA364" s="552">
        <f>(3/AA365)^AA368</f>
        <v>0.9646914341988925</v>
      </c>
      <c r="AC364" s="355"/>
      <c r="AD364" s="355"/>
      <c r="AE364" s="355"/>
    </row>
    <row r="365" spans="17:31" ht="19.5" customHeight="1">
      <c r="Q365" s="355"/>
      <c r="R365" s="355"/>
      <c r="S365" s="605"/>
      <c r="T365" s="443"/>
      <c r="U365" s="355"/>
      <c r="V365" s="355"/>
      <c r="W365" s="433" t="s">
        <v>492</v>
      </c>
      <c r="X365" s="177">
        <f>AA266</f>
        <v>6.3</v>
      </c>
      <c r="Z365" s="433" t="s">
        <v>493</v>
      </c>
      <c r="AA365" s="552">
        <f>(X365+X366)/2*(100/X364)^0.333333333</f>
        <v>4.2977092556377485</v>
      </c>
      <c r="AC365" s="355"/>
      <c r="AD365" s="355"/>
      <c r="AE365" s="355"/>
    </row>
    <row r="366" spans="17:31" ht="19.5" customHeight="1">
      <c r="Q366" s="355"/>
      <c r="R366" s="355"/>
      <c r="S366" s="605"/>
      <c r="T366" s="416"/>
      <c r="U366" s="355"/>
      <c r="V366" s="355"/>
      <c r="W366" s="433" t="s">
        <v>494</v>
      </c>
      <c r="X366" s="177">
        <f>AC266</f>
        <v>6.3</v>
      </c>
      <c r="Z366" s="355"/>
      <c r="AA366" s="443"/>
      <c r="AC366" s="355"/>
      <c r="AD366" s="355"/>
      <c r="AE366" s="355"/>
    </row>
    <row r="367" spans="17:31" ht="19.5" customHeight="1">
      <c r="Q367" s="355"/>
      <c r="R367" s="355"/>
      <c r="S367" s="605"/>
      <c r="T367" s="416"/>
      <c r="U367" s="355"/>
      <c r="V367" s="355"/>
      <c r="W367" s="355"/>
      <c r="X367" s="355"/>
      <c r="Y367" s="355"/>
      <c r="Z367" s="433" t="s">
        <v>495</v>
      </c>
      <c r="AA367" s="552">
        <f>IF(Z326&lt;849,0.15,IF(Z326&gt;1200,0.08,0.32-0.0002*Z326))</f>
        <v>0.1</v>
      </c>
      <c r="AC367" s="355"/>
      <c r="AD367" s="355"/>
      <c r="AE367" s="355"/>
    </row>
    <row r="368" spans="17:31" ht="19.5" customHeight="1">
      <c r="Q368" s="355"/>
      <c r="R368" s="355"/>
      <c r="S368" s="605"/>
      <c r="T368" s="416"/>
      <c r="U368" s="355"/>
      <c r="V368" s="355"/>
      <c r="W368" s="355"/>
      <c r="X368" s="355"/>
      <c r="Y368" s="355"/>
      <c r="Z368" s="433" t="s">
        <v>496</v>
      </c>
      <c r="AA368" s="552">
        <f>IF(Z327&lt;849,0.15,IF(Z327&gt;1200,0.08,0.32-0.0002*Z327))</f>
        <v>0.1</v>
      </c>
      <c r="AC368" s="355"/>
      <c r="AD368" s="355"/>
      <c r="AE368" s="355"/>
    </row>
    <row r="369" spans="17:31" ht="19.5" customHeight="1">
      <c r="Q369" s="355"/>
      <c r="R369" s="355"/>
      <c r="S369" s="605"/>
      <c r="T369" s="416"/>
      <c r="U369" s="355"/>
      <c r="V369" s="355"/>
      <c r="W369" s="355"/>
      <c r="X369" s="357"/>
      <c r="Y369" s="355"/>
      <c r="Z369" s="433"/>
      <c r="AA369" s="443"/>
      <c r="AB369" s="552"/>
      <c r="AC369" s="355"/>
      <c r="AD369" s="355"/>
      <c r="AE369" s="355"/>
    </row>
    <row r="370" spans="17:31" ht="19.5" customHeight="1">
      <c r="Q370" s="355"/>
      <c r="R370" s="355"/>
      <c r="S370" s="605"/>
      <c r="T370" s="416"/>
      <c r="U370" s="355"/>
      <c r="V370" s="355"/>
      <c r="W370" s="355"/>
      <c r="X370" s="357"/>
      <c r="Y370" s="355"/>
      <c r="Z370" s="433"/>
      <c r="AA370" s="443"/>
      <c r="AB370" s="552"/>
      <c r="AC370" s="355"/>
      <c r="AD370" s="355"/>
      <c r="AE370" s="355"/>
    </row>
    <row r="371" spans="17:31" ht="19.5" customHeight="1" thickBot="1">
      <c r="Q371" s="355"/>
      <c r="R371" s="355"/>
      <c r="S371" s="605"/>
      <c r="T371" s="416"/>
      <c r="U371" s="355"/>
      <c r="V371" s="355"/>
      <c r="W371" s="355"/>
      <c r="X371" s="357"/>
      <c r="Y371" s="355"/>
      <c r="Z371" s="433"/>
      <c r="AA371" s="443"/>
      <c r="AB371" s="552"/>
      <c r="AC371" s="355"/>
      <c r="AD371" s="355"/>
      <c r="AE371" s="355"/>
    </row>
    <row r="372" spans="17:31" ht="19.5" customHeight="1" thickBot="1">
      <c r="Q372" s="355"/>
      <c r="R372" s="355"/>
      <c r="T372" s="639" t="str">
        <f>H30</f>
        <v>Malzeme çifti faktörü</v>
      </c>
      <c r="U372" s="640"/>
      <c r="V372" s="355" t="s">
        <v>497</v>
      </c>
      <c r="W372" s="355"/>
      <c r="X372" s="357"/>
      <c r="Y372" s="355"/>
      <c r="Z372" s="177"/>
      <c r="AC372" s="611" t="s">
        <v>467</v>
      </c>
      <c r="AD372" s="531">
        <f>IF(AA374&lt;AA375,AA374,AA375)</f>
        <v>1</v>
      </c>
      <c r="AE372" s="355"/>
    </row>
    <row r="373" spans="17:31" ht="19.5" customHeight="1">
      <c r="Q373" s="355"/>
      <c r="R373" s="355"/>
      <c r="S373" s="605"/>
      <c r="T373" s="416"/>
      <c r="U373" s="355"/>
      <c r="V373" s="355"/>
      <c r="W373" s="355"/>
      <c r="X373" s="357"/>
      <c r="Y373" s="355"/>
      <c r="Z373" s="433"/>
      <c r="AA373" s="443"/>
      <c r="AC373" s="552"/>
      <c r="AD373" s="355"/>
      <c r="AE373" s="355"/>
    </row>
    <row r="374" spans="17:29" ht="19.5" customHeight="1">
      <c r="Q374" s="355"/>
      <c r="R374" s="355"/>
      <c r="U374" s="468"/>
      <c r="W374" s="757" t="s">
        <v>573</v>
      </c>
      <c r="X374" s="758">
        <f>1!H35</f>
        <v>525</v>
      </c>
      <c r="Z374" s="433" t="s">
        <v>498</v>
      </c>
      <c r="AA374" s="552">
        <f>IF(X374&gt;469,1,IF(X374&lt;130,1.2,1.2-(X374-130)/1700))</f>
        <v>1</v>
      </c>
      <c r="AC374" s="468"/>
    </row>
    <row r="375" spans="17:29" ht="19.5" customHeight="1" thickBot="1">
      <c r="Q375" s="355"/>
      <c r="R375" s="355"/>
      <c r="U375" s="468"/>
      <c r="W375" s="757" t="s">
        <v>574</v>
      </c>
      <c r="X375" s="758">
        <f>1!H36</f>
        <v>525</v>
      </c>
      <c r="Z375" s="433" t="s">
        <v>499</v>
      </c>
      <c r="AA375" s="552">
        <f>IF(X375&gt;469,1,IF(X375&lt;130,1.2,1.2-(X375-130)/1700))</f>
        <v>1</v>
      </c>
      <c r="AC375" s="468"/>
    </row>
    <row r="376" spans="17:30" ht="19.5" customHeight="1" thickBot="1">
      <c r="Q376" s="355"/>
      <c r="R376" s="355"/>
      <c r="AC376" s="611" t="s">
        <v>468</v>
      </c>
      <c r="AD376" s="531">
        <f>IF(S383&lt;1.5,AD380,IF(S383&lt;2.5,AD381,AD382))</f>
        <v>0.9700000000000001</v>
      </c>
    </row>
    <row r="377" spans="17:31" ht="19.5" customHeight="1" thickBot="1">
      <c r="Q377" s="355"/>
      <c r="R377" s="355"/>
      <c r="T377" s="639" t="str">
        <f>B29</f>
        <v>Büyüklük faktörü</v>
      </c>
      <c r="U377" s="640"/>
      <c r="V377" s="355" t="s">
        <v>500</v>
      </c>
      <c r="X377" s="433" t="s">
        <v>250</v>
      </c>
      <c r="Y377" s="641">
        <f>AA58</f>
        <v>8</v>
      </c>
      <c r="AC377" s="355"/>
      <c r="AD377" s="355"/>
      <c r="AE377" s="355"/>
    </row>
    <row r="378" spans="17:31" ht="19.5" customHeight="1">
      <c r="Q378" s="355"/>
      <c r="R378" s="355"/>
      <c r="S378" s="887" t="s">
        <v>351</v>
      </c>
      <c r="T378" s="888"/>
      <c r="U378" s="888"/>
      <c r="V378" s="888"/>
      <c r="W378" s="888"/>
      <c r="X378" s="888" t="s">
        <v>432</v>
      </c>
      <c r="Y378" s="888"/>
      <c r="Z378" s="888"/>
      <c r="AA378" s="888"/>
      <c r="AB378" s="888"/>
      <c r="AC378" s="890"/>
      <c r="AE378" s="355"/>
    </row>
    <row r="379" spans="17:31" ht="19.5" customHeight="1">
      <c r="Q379" s="355"/>
      <c r="R379" s="355"/>
      <c r="S379" s="889"/>
      <c r="T379" s="880"/>
      <c r="U379" s="880"/>
      <c r="V379" s="880"/>
      <c r="W379" s="880"/>
      <c r="X379" s="437" t="s">
        <v>501</v>
      </c>
      <c r="Y379" s="880" t="s">
        <v>502</v>
      </c>
      <c r="Z379" s="880"/>
      <c r="AA379" s="880"/>
      <c r="AB379" s="880"/>
      <c r="AC379" s="624" t="s">
        <v>503</v>
      </c>
      <c r="AE379" s="355"/>
    </row>
    <row r="380" spans="17:30" ht="19.5" customHeight="1">
      <c r="Q380" s="355"/>
      <c r="R380" s="355"/>
      <c r="S380" s="878" t="str">
        <f>1!L37</f>
        <v>1 - Demir döküm (GG, GGG)</v>
      </c>
      <c r="T380" s="879"/>
      <c r="U380" s="879"/>
      <c r="V380" s="879"/>
      <c r="W380" s="879"/>
      <c r="X380" s="880" t="s">
        <v>504</v>
      </c>
      <c r="Y380" s="880" t="s">
        <v>437</v>
      </c>
      <c r="Z380" s="880"/>
      <c r="AA380" s="880"/>
      <c r="AB380" s="880"/>
      <c r="AC380" s="624" t="s">
        <v>438</v>
      </c>
      <c r="AD380" s="546">
        <f>IF(Y377&lt;7,1,IF(Y377&gt;30,0.7,1.075-0.015*Y377))</f>
        <v>0.955</v>
      </c>
    </row>
    <row r="381" spans="19:30" ht="19.5" customHeight="1">
      <c r="S381" s="878" t="str">
        <f>1!L38</f>
        <v>2 - Bütün çelikler, (Rm&lt;800 N/mm2, St, GS)</v>
      </c>
      <c r="T381" s="879"/>
      <c r="U381" s="879"/>
      <c r="V381" s="879"/>
      <c r="W381" s="879"/>
      <c r="X381" s="880"/>
      <c r="Y381" s="880" t="s">
        <v>439</v>
      </c>
      <c r="Z381" s="880"/>
      <c r="AA381" s="880"/>
      <c r="AB381" s="880"/>
      <c r="AC381" s="624" t="s">
        <v>505</v>
      </c>
      <c r="AD381" s="573">
        <f>IF(Y377&lt;7,1,IF(Y377&gt;30,0.9,1.03-0.006*Y377))</f>
        <v>0.982</v>
      </c>
    </row>
    <row r="382" spans="19:30" ht="19.5" customHeight="1" thickBot="1">
      <c r="S382" s="882" t="str">
        <f>1!L39</f>
        <v>3 - Bütün sertleştirilmiş çelikler, (Rm&gt;800 N/mm2)</v>
      </c>
      <c r="T382" s="883"/>
      <c r="U382" s="883"/>
      <c r="V382" s="883"/>
      <c r="W382" s="883"/>
      <c r="X382" s="881"/>
      <c r="Y382" s="881" t="s">
        <v>441</v>
      </c>
      <c r="Z382" s="881"/>
      <c r="AA382" s="881"/>
      <c r="AB382" s="881"/>
      <c r="AC382" s="625" t="s">
        <v>506</v>
      </c>
      <c r="AD382" s="573">
        <f>IF(Y377&lt;7,1,IF(Y377&gt;30,0.8,1.05-0.01*Y377))</f>
        <v>0.9700000000000001</v>
      </c>
    </row>
    <row r="383" spans="19:31" ht="15" customHeight="1">
      <c r="S383" s="763">
        <f>S252</f>
        <v>3</v>
      </c>
      <c r="T383" s="443"/>
      <c r="U383" s="355"/>
      <c r="V383" s="355"/>
      <c r="W383" s="355"/>
      <c r="X383" s="355"/>
      <c r="Y383" s="355"/>
      <c r="Z383" s="355"/>
      <c r="AA383" s="443"/>
      <c r="AB383" s="443"/>
      <c r="AC383" s="355"/>
      <c r="AD383" s="355"/>
      <c r="AE383" s="355"/>
    </row>
  </sheetData>
  <sheetProtection password="EF77" sheet="1" objects="1" scenarios="1"/>
  <mergeCells count="146">
    <mergeCell ref="M18:N22"/>
    <mergeCell ref="M10:N17"/>
    <mergeCell ref="S22:AD22"/>
    <mergeCell ref="S24:AD25"/>
    <mergeCell ref="S27:AD27"/>
    <mergeCell ref="S14:AD15"/>
    <mergeCell ref="S17:AD17"/>
    <mergeCell ref="S19:AD20"/>
    <mergeCell ref="E32:F32"/>
    <mergeCell ref="E33:F33"/>
    <mergeCell ref="K34:L34"/>
    <mergeCell ref="K35:L35"/>
    <mergeCell ref="T109:U109"/>
    <mergeCell ref="T110:U110"/>
    <mergeCell ref="T113:U113"/>
    <mergeCell ref="T114:U114"/>
    <mergeCell ref="T124:V126"/>
    <mergeCell ref="W124:AC124"/>
    <mergeCell ref="W125:W126"/>
    <mergeCell ref="T127:V128"/>
    <mergeCell ref="W127:W128"/>
    <mergeCell ref="X127:X128"/>
    <mergeCell ref="Y127:Y128"/>
    <mergeCell ref="Z127:Z128"/>
    <mergeCell ref="AA127:AA128"/>
    <mergeCell ref="AB127:AB128"/>
    <mergeCell ref="AC127:AC128"/>
    <mergeCell ref="AD127:AD128"/>
    <mergeCell ref="T129:V130"/>
    <mergeCell ref="W129:W130"/>
    <mergeCell ref="X129:X130"/>
    <mergeCell ref="Y129:Y130"/>
    <mergeCell ref="Z129:Z130"/>
    <mergeCell ref="AA129:AA130"/>
    <mergeCell ref="AB129:AB130"/>
    <mergeCell ref="AC129:AC130"/>
    <mergeCell ref="AD129:AD130"/>
    <mergeCell ref="T131:V132"/>
    <mergeCell ref="W131:W132"/>
    <mergeCell ref="X131:X132"/>
    <mergeCell ref="Y131:Y132"/>
    <mergeCell ref="Z131:Z132"/>
    <mergeCell ref="AA131:AA132"/>
    <mergeCell ref="AB131:AB132"/>
    <mergeCell ref="AC131:AC132"/>
    <mergeCell ref="AD131:AD132"/>
    <mergeCell ref="T134:T135"/>
    <mergeCell ref="U134:V135"/>
    <mergeCell ref="W134:Y134"/>
    <mergeCell ref="U136:V136"/>
    <mergeCell ref="U137:V137"/>
    <mergeCell ref="U138:V138"/>
    <mergeCell ref="U139:V139"/>
    <mergeCell ref="U140:V140"/>
    <mergeCell ref="U141:V141"/>
    <mergeCell ref="U142:V142"/>
    <mergeCell ref="U161:AA161"/>
    <mergeCell ref="T163:T164"/>
    <mergeCell ref="T166:T167"/>
    <mergeCell ref="T170:T171"/>
    <mergeCell ref="T173:T174"/>
    <mergeCell ref="S177:U178"/>
    <mergeCell ref="V177:AD177"/>
    <mergeCell ref="V178:AC178"/>
    <mergeCell ref="AD178:AD179"/>
    <mergeCell ref="S179:U179"/>
    <mergeCell ref="S180:U180"/>
    <mergeCell ref="S181:S184"/>
    <mergeCell ref="T181:T182"/>
    <mergeCell ref="V181:W182"/>
    <mergeCell ref="T183:T184"/>
    <mergeCell ref="V183:V184"/>
    <mergeCell ref="W183:W184"/>
    <mergeCell ref="X181:X182"/>
    <mergeCell ref="Y181:Y182"/>
    <mergeCell ref="Z181:AD181"/>
    <mergeCell ref="Z182:AD182"/>
    <mergeCell ref="X183:X184"/>
    <mergeCell ref="Y183:Y184"/>
    <mergeCell ref="Z183:AD184"/>
    <mergeCell ref="S185:S188"/>
    <mergeCell ref="T185:T186"/>
    <mergeCell ref="V185:X186"/>
    <mergeCell ref="Y185:Y186"/>
    <mergeCell ref="Z185:AA186"/>
    <mergeCell ref="AB185:AD185"/>
    <mergeCell ref="AB186:AD186"/>
    <mergeCell ref="Z187:AA188"/>
    <mergeCell ref="AB187:AD187"/>
    <mergeCell ref="AB188:AD188"/>
    <mergeCell ref="T211:V211"/>
    <mergeCell ref="T187:T188"/>
    <mergeCell ref="V187:W188"/>
    <mergeCell ref="X187:X188"/>
    <mergeCell ref="Y187:Y188"/>
    <mergeCell ref="S247:W248"/>
    <mergeCell ref="X247:AB247"/>
    <mergeCell ref="Y248:Z248"/>
    <mergeCell ref="AA248:AB248"/>
    <mergeCell ref="S249:W249"/>
    <mergeCell ref="Y249:Z249"/>
    <mergeCell ref="AA249:AB251"/>
    <mergeCell ref="S250:W250"/>
    <mergeCell ref="Y250:Z250"/>
    <mergeCell ref="S251:W251"/>
    <mergeCell ref="Y251:Z251"/>
    <mergeCell ref="S260:W261"/>
    <mergeCell ref="X260:AC260"/>
    <mergeCell ref="X261:Y261"/>
    <mergeCell ref="Z261:AC261"/>
    <mergeCell ref="S262:W262"/>
    <mergeCell ref="Z262:AC262"/>
    <mergeCell ref="S263:W263"/>
    <mergeCell ref="Z263:AC263"/>
    <mergeCell ref="S264:W264"/>
    <mergeCell ref="Z264:AC264"/>
    <mergeCell ref="S272:W273"/>
    <mergeCell ref="X272:AC272"/>
    <mergeCell ref="Y273:AB273"/>
    <mergeCell ref="S274:W274"/>
    <mergeCell ref="X274:X276"/>
    <mergeCell ref="Y274:AB274"/>
    <mergeCell ref="S275:W275"/>
    <mergeCell ref="Y275:AB275"/>
    <mergeCell ref="S276:W276"/>
    <mergeCell ref="Y276:AB276"/>
    <mergeCell ref="Z326:AA326"/>
    <mergeCell ref="Z327:AA327"/>
    <mergeCell ref="T336:U336"/>
    <mergeCell ref="V336:Y336"/>
    <mergeCell ref="T337:U337"/>
    <mergeCell ref="V337:Y337"/>
    <mergeCell ref="T338:U338"/>
    <mergeCell ref="V338:Y338"/>
    <mergeCell ref="T339:U339"/>
    <mergeCell ref="V339:Y339"/>
    <mergeCell ref="S378:W379"/>
    <mergeCell ref="X378:AC378"/>
    <mergeCell ref="Y379:AB379"/>
    <mergeCell ref="S380:W380"/>
    <mergeCell ref="X380:X382"/>
    <mergeCell ref="Y380:AB380"/>
    <mergeCell ref="S381:W381"/>
    <mergeCell ref="Y381:AB381"/>
    <mergeCell ref="S382:W382"/>
    <mergeCell ref="Y382:AB382"/>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90" r:id="rId58"/>
  <headerFooter alignWithMargins="0">
    <oddFooter>&amp;L&amp;F / &amp;A / &amp;D&amp;RSeite &amp;P von &amp;N</oddFooter>
  </headerFooter>
  <ignoredErrors>
    <ignoredError sqref="M8:N8" unlockedFormula="1"/>
    <ignoredError sqref="AD57 K22 H32" formula="1"/>
  </ignoredErrors>
  <legacyDrawing r:id="rId57"/>
  <oleObjects>
    <oleObject progId="Equation.3" shapeId="2360906" r:id="rId1"/>
    <oleObject progId="Equation.3" shapeId="2360907" r:id="rId2"/>
    <oleObject progId="Equation.3" shapeId="2360908" r:id="rId3"/>
    <oleObject progId="Equation.3" shapeId="2360909" r:id="rId4"/>
    <oleObject progId="Equation.3" shapeId="2360910" r:id="rId5"/>
    <oleObject progId="Equation.3" shapeId="2360911" r:id="rId6"/>
    <oleObject progId="Equation.3" shapeId="2360912" r:id="rId7"/>
    <oleObject progId="Equation.3" shapeId="2360913" r:id="rId8"/>
    <oleObject progId="Equation.3" shapeId="2360914" r:id="rId9"/>
    <oleObject progId="Equation.3" shapeId="2360915" r:id="rId10"/>
    <oleObject progId="Equation.3" shapeId="2360916" r:id="rId11"/>
    <oleObject progId="Equation.3" shapeId="2360917" r:id="rId12"/>
    <oleObject progId="Equation.3" shapeId="2360918" r:id="rId13"/>
    <oleObject progId="Equation.3" shapeId="2360919" r:id="rId14"/>
    <oleObject progId="Equation.3" shapeId="2360920" r:id="rId15"/>
    <oleObject progId="Equation.3" shapeId="2360921" r:id="rId16"/>
    <oleObject progId="Equation.3" shapeId="2360922" r:id="rId17"/>
    <oleObject progId="Equation.3" shapeId="2360923" r:id="rId18"/>
    <oleObject progId="Equation.3" shapeId="2360924" r:id="rId19"/>
    <oleObject progId="Equation.3" shapeId="2360925" r:id="rId20"/>
    <oleObject progId="Equation.3" shapeId="2360926" r:id="rId21"/>
    <oleObject progId="Equation.3" shapeId="2360927" r:id="rId22"/>
    <oleObject progId="Equation.3" shapeId="2360928" r:id="rId23"/>
    <oleObject progId="Equation.3" shapeId="2360929" r:id="rId24"/>
    <oleObject progId="Equation.3" shapeId="2360930" r:id="rId25"/>
    <oleObject progId="Equation.3" shapeId="2360931" r:id="rId26"/>
    <oleObject progId="Equation.3" shapeId="2360932" r:id="rId27"/>
    <oleObject progId="Equation.3" shapeId="2360933" r:id="rId28"/>
    <oleObject progId="Equation.3" shapeId="2360934" r:id="rId29"/>
    <oleObject progId="Equation.3" shapeId="2360935" r:id="rId30"/>
    <oleObject progId="Equation.3" shapeId="2360936" r:id="rId31"/>
    <oleObject progId="Equation.3" shapeId="2360937" r:id="rId32"/>
    <oleObject progId="Equation.3" shapeId="2360938" r:id="rId33"/>
    <oleObject progId="Equation.3" shapeId="2360939" r:id="rId34"/>
    <oleObject progId="Equation.3" shapeId="2360940" r:id="rId35"/>
    <oleObject progId="Equation.3" shapeId="2360941" r:id="rId36"/>
    <oleObject progId="Equation.3" shapeId="2360942" r:id="rId37"/>
    <oleObject progId="Equation.3" shapeId="2360943" r:id="rId38"/>
    <oleObject progId="Equation.3" shapeId="2360944" r:id="rId39"/>
    <oleObject progId="Equation.3" shapeId="2360945" r:id="rId40"/>
    <oleObject progId="Equation.3" shapeId="2360946" r:id="rId41"/>
    <oleObject progId="Equation.3" shapeId="2360947" r:id="rId42"/>
    <oleObject progId="Equation.3" shapeId="2360948" r:id="rId43"/>
    <oleObject progId="Equation.3" shapeId="2360949" r:id="rId44"/>
    <oleObject progId="Equation.3" shapeId="2360950" r:id="rId45"/>
    <oleObject progId="Equation.3" shapeId="2360951" r:id="rId46"/>
    <oleObject progId="Equation.3" shapeId="2360952" r:id="rId47"/>
    <oleObject progId="Equation.3" shapeId="2360953" r:id="rId48"/>
    <oleObject progId="Equation.3" shapeId="2360954" r:id="rId49"/>
    <oleObject progId="Equation.3" shapeId="2360955" r:id="rId50"/>
    <oleObject progId="Equation.3" shapeId="2360956" r:id="rId51"/>
    <oleObject progId="Equation.3" shapeId="2360957" r:id="rId52"/>
    <oleObject progId="Equation.3" shapeId="2360958" r:id="rId53"/>
    <oleObject progId="Equation.3" shapeId="2360959" r:id="rId54"/>
    <oleObject progId="Equation.3" shapeId="2360960" r:id="rId55"/>
    <oleObject progId="Equation.3" shapeId="2360961" r:id="rId5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Guven</cp:lastModifiedBy>
  <cp:lastPrinted>2010-10-02T10:43:44Z</cp:lastPrinted>
  <dcterms:created xsi:type="dcterms:W3CDTF">1998-11-18T13:22:42Z</dcterms:created>
  <dcterms:modified xsi:type="dcterms:W3CDTF">2014-04-04T07:57:57Z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