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Override PartName="/xl/embeddings/oleObject_4_13.bin" ContentType="application/vnd.openxmlformats-officedocument.oleObject"/>
  <Override PartName="/xl/embeddings/oleObject_4_14.bin" ContentType="application/vnd.openxmlformats-officedocument.oleObject"/>
  <Override PartName="/xl/embeddings/oleObject_4_15.bin" ContentType="application/vnd.openxmlformats-officedocument.oleObject"/>
  <Override PartName="/xl/embeddings/oleObject_4_16.bin" ContentType="application/vnd.openxmlformats-officedocument.oleObject"/>
  <Override PartName="/xl/embeddings/oleObject_4_17.bin" ContentType="application/vnd.openxmlformats-officedocument.oleObject"/>
  <Override PartName="/xl/embeddings/oleObject_4_18.bin" ContentType="application/vnd.openxmlformats-officedocument.oleObject"/>
  <Override PartName="/xl/embeddings/oleObject_4_19.bin" ContentType="application/vnd.openxmlformats-officedocument.oleObject"/>
  <Override PartName="/xl/embeddings/oleObject_4_20.bin" ContentType="application/vnd.openxmlformats-officedocument.oleObject"/>
  <Override PartName="/xl/embeddings/oleObject_4_21.bin" ContentType="application/vnd.openxmlformats-officedocument.oleObject"/>
  <Override PartName="/xl/embeddings/oleObject_4_22.bin" ContentType="application/vnd.openxmlformats-officedocument.oleObject"/>
  <Override PartName="/xl/embeddings/oleObject_4_23.bin" ContentType="application/vnd.openxmlformats-officedocument.oleObject"/>
  <Override PartName="/xl/embeddings/oleObject_4_24.bin" ContentType="application/vnd.openxmlformats-officedocument.oleObject"/>
  <Override PartName="/xl/embeddings/oleObject_4_25.bin" ContentType="application/vnd.openxmlformats-officedocument.oleObject"/>
  <Override PartName="/xl/embeddings/oleObject_4_26.bin" ContentType="application/vnd.openxmlformats-officedocument.oleObject"/>
  <Override PartName="/xl/embeddings/oleObject_4_27.bin" ContentType="application/vnd.openxmlformats-officedocument.oleObject"/>
  <Override PartName="/xl/embeddings/oleObject_4_28.bin" ContentType="application/vnd.openxmlformats-officedocument.oleObject"/>
  <Override PartName="/xl/embeddings/oleObject_4_29.bin" ContentType="application/vnd.openxmlformats-officedocument.oleObject"/>
  <Override PartName="/xl/embeddings/oleObject_4_30.bin" ContentType="application/vnd.openxmlformats-officedocument.oleObject"/>
  <Override PartName="/xl/embeddings/oleObject_4_31.bin" ContentType="application/vnd.openxmlformats-officedocument.oleObject"/>
  <Override PartName="/xl/embeddings/oleObject_4_32.bin" ContentType="application/vnd.openxmlformats-officedocument.oleObject"/>
  <Override PartName="/xl/embeddings/oleObject_4_33.bin" ContentType="application/vnd.openxmlformats-officedocument.oleObject"/>
  <Override PartName="/xl/embeddings/oleObject_4_34.bin" ContentType="application/vnd.openxmlformats-officedocument.oleObject"/>
  <Override PartName="/xl/embeddings/oleObject_4_35.bin" ContentType="application/vnd.openxmlformats-officedocument.oleObject"/>
  <Override PartName="/xl/embeddings/oleObject_4_36.bin" ContentType="application/vnd.openxmlformats-officedocument.oleObject"/>
  <Override PartName="/xl/embeddings/oleObject_4_37.bin" ContentType="application/vnd.openxmlformats-officedocument.oleObject"/>
  <Override PartName="/xl/embeddings/oleObject_4_38.bin" ContentType="application/vnd.openxmlformats-officedocument.oleObject"/>
  <Override PartName="/xl/embeddings/oleObject_4_39.bin" ContentType="application/vnd.openxmlformats-officedocument.oleObject"/>
  <Override PartName="/xl/embeddings/oleObject_4_40.bin" ContentType="application/vnd.openxmlformats-officedocument.oleObject"/>
  <Override PartName="/xl/embeddings/oleObject_4_41.bin" ContentType="application/vnd.openxmlformats-officedocument.oleObject"/>
  <Override PartName="/xl/embeddings/oleObject_4_42.bin" ContentType="application/vnd.openxmlformats-officedocument.oleObject"/>
  <Override PartName="/xl/embeddings/oleObject_4_43.bin" ContentType="application/vnd.openxmlformats-officedocument.oleObject"/>
  <Override PartName="/xl/embeddings/oleObject_4_44.bin" ContentType="application/vnd.openxmlformats-officedocument.oleObject"/>
  <Override PartName="/xl/embeddings/oleObject_4_45.bin" ContentType="application/vnd.openxmlformats-officedocument.oleObject"/>
  <Override PartName="/xl/embeddings/oleObject_4_46.bin" ContentType="application/vnd.openxmlformats-officedocument.oleObject"/>
  <Override PartName="/xl/embeddings/oleObject_4_47.bin" ContentType="application/vnd.openxmlformats-officedocument.oleObject"/>
  <Override PartName="/xl/embeddings/oleObject_4_48.bin" ContentType="application/vnd.openxmlformats-officedocument.oleObject"/>
  <Override PartName="/xl/embeddings/oleObject_4_49.bin" ContentType="application/vnd.openxmlformats-officedocument.oleObject"/>
  <Override PartName="/xl/embeddings/oleObject_4_50.bin" ContentType="application/vnd.openxmlformats-officedocument.oleObject"/>
  <Override PartName="/xl/embeddings/oleObject_4_51.bin" ContentType="application/vnd.openxmlformats-officedocument.oleObject"/>
  <Override PartName="/xl/embeddings/oleObject_4_52.bin" ContentType="application/vnd.openxmlformats-officedocument.oleObject"/>
  <Override PartName="/xl/embeddings/oleObject_4_53.bin" ContentType="application/vnd.openxmlformats-officedocument.oleObject"/>
  <Override PartName="/xl/embeddings/oleObject_4_54.bin" ContentType="application/vnd.openxmlformats-officedocument.oleObject"/>
  <Override PartName="/xl/embeddings/oleObject_4_55.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91" yWindow="0" windowWidth="9630" windowHeight="12510" activeTab="0"/>
  </bookViews>
  <sheets>
    <sheet name="Info" sheetId="1" r:id="rId1"/>
    <sheet name="0" sheetId="2" r:id="rId2"/>
    <sheet name="1" sheetId="3" r:id="rId3"/>
    <sheet name="2" sheetId="4" r:id="rId4"/>
    <sheet name="3" sheetId="5" r:id="rId5"/>
    <sheet name="4" sheetId="6" r:id="rId6"/>
    <sheet name="5" sheetId="7" r:id="rId7"/>
    <sheet name="6" sheetId="8" r:id="rId8"/>
  </sheets>
  <definedNames/>
  <calcPr fullCalcOnLoad="1"/>
</workbook>
</file>

<file path=xl/sharedStrings.xml><?xml version="1.0" encoding="utf-8"?>
<sst xmlns="http://schemas.openxmlformats.org/spreadsheetml/2006/main" count="781" uniqueCount="552">
  <si>
    <t>u</t>
  </si>
  <si>
    <t>30 - 50</t>
  </si>
  <si>
    <t>18 - 30</t>
  </si>
  <si>
    <t>DIN</t>
  </si>
  <si>
    <t xml:space="preserve">m      </t>
  </si>
  <si>
    <t xml:space="preserve">ß       </t>
  </si>
  <si>
    <t xml:space="preserve"> </t>
  </si>
  <si>
    <t xml:space="preserve">a        </t>
  </si>
  <si>
    <t>b</t>
  </si>
  <si>
    <t>js 7</t>
  </si>
  <si>
    <t>c</t>
  </si>
  <si>
    <t>js 6</t>
  </si>
  <si>
    <t>f</t>
  </si>
  <si>
    <t>24/25</t>
  </si>
  <si>
    <t>a</t>
  </si>
  <si>
    <t>e</t>
  </si>
  <si>
    <t>27/28</t>
  </si>
  <si>
    <t>js 8</t>
  </si>
  <si>
    <t>in mm</t>
  </si>
  <si>
    <t>js5</t>
  </si>
  <si>
    <t>js6</t>
  </si>
  <si>
    <t>js7</t>
  </si>
  <si>
    <t>js8</t>
  </si>
  <si>
    <t>js9</t>
  </si>
  <si>
    <t>d</t>
  </si>
  <si>
    <t>10 - 18</t>
  </si>
  <si>
    <t>c, cd</t>
  </si>
  <si>
    <t>50 - 80</t>
  </si>
  <si>
    <t>80 - 120</t>
  </si>
  <si>
    <t>120 - 180</t>
  </si>
  <si>
    <t>180 - 250</t>
  </si>
  <si>
    <t>250 - 315</t>
  </si>
  <si>
    <t>315 - 400</t>
  </si>
  <si>
    <t>400 - 500</t>
  </si>
  <si>
    <t>ab</t>
  </si>
  <si>
    <t>bc</t>
  </si>
  <si>
    <t>cd</t>
  </si>
  <si>
    <t>bis 10</t>
  </si>
  <si>
    <t>10 - 50</t>
  </si>
  <si>
    <t>50 - 125</t>
  </si>
  <si>
    <t>125 - 280</t>
  </si>
  <si>
    <t>280 - 560</t>
  </si>
  <si>
    <t>560 - 1000</t>
  </si>
  <si>
    <t>N</t>
  </si>
  <si>
    <r>
      <t>Y</t>
    </r>
    <r>
      <rPr>
        <vertAlign val="subscript"/>
        <sz val="10"/>
        <rFont val="Arial"/>
        <family val="2"/>
      </rPr>
      <t>ST</t>
    </r>
  </si>
  <si>
    <r>
      <t>Y</t>
    </r>
    <r>
      <rPr>
        <vertAlign val="subscript"/>
        <sz val="10"/>
        <rFont val="Arial"/>
        <family val="2"/>
      </rPr>
      <t>NT</t>
    </r>
  </si>
  <si>
    <r>
      <t>Y</t>
    </r>
    <r>
      <rPr>
        <vertAlign val="subscript"/>
        <sz val="10"/>
        <rFont val="Arial"/>
        <family val="2"/>
      </rPr>
      <t>RrelT</t>
    </r>
  </si>
  <si>
    <r>
      <t>Y</t>
    </r>
    <r>
      <rPr>
        <vertAlign val="subscript"/>
        <sz val="10"/>
        <rFont val="Arial"/>
        <family val="2"/>
      </rPr>
      <t>X</t>
    </r>
  </si>
  <si>
    <r>
      <t>N/mm</t>
    </r>
    <r>
      <rPr>
        <vertAlign val="superscript"/>
        <sz val="10"/>
        <rFont val="Arial"/>
        <family val="2"/>
      </rPr>
      <t>2</t>
    </r>
  </si>
  <si>
    <r>
      <t>F</t>
    </r>
    <r>
      <rPr>
        <vertAlign val="subscript"/>
        <sz val="10"/>
        <rFont val="Arial"/>
        <family val="2"/>
      </rPr>
      <t>t</t>
    </r>
  </si>
  <si>
    <r>
      <t>Y</t>
    </r>
    <r>
      <rPr>
        <vertAlign val="subscript"/>
        <sz val="10"/>
        <rFont val="Symbol"/>
        <family val="1"/>
      </rPr>
      <t>d</t>
    </r>
    <r>
      <rPr>
        <vertAlign val="subscript"/>
        <sz val="10"/>
        <rFont val="Arial"/>
        <family val="2"/>
      </rPr>
      <t>rel</t>
    </r>
  </si>
  <si>
    <t>mm</t>
  </si>
  <si>
    <r>
      <t>N</t>
    </r>
    <r>
      <rPr>
        <vertAlign val="subscript"/>
        <sz val="10"/>
        <rFont val="Arial"/>
        <family val="2"/>
      </rPr>
      <t>L</t>
    </r>
  </si>
  <si>
    <r>
      <t>m</t>
    </r>
    <r>
      <rPr>
        <vertAlign val="subscript"/>
        <sz val="10"/>
        <rFont val="Arial"/>
        <family val="2"/>
      </rPr>
      <t>n</t>
    </r>
  </si>
  <si>
    <r>
      <t>z</t>
    </r>
    <r>
      <rPr>
        <vertAlign val="subscript"/>
        <sz val="10"/>
        <rFont val="Arial"/>
        <family val="2"/>
      </rPr>
      <t>1</t>
    </r>
    <r>
      <rPr>
        <sz val="10"/>
        <rFont val="Arial"/>
        <family val="2"/>
      </rPr>
      <t>,z</t>
    </r>
    <r>
      <rPr>
        <vertAlign val="subscript"/>
        <sz val="10"/>
        <rFont val="Arial"/>
        <family val="2"/>
      </rPr>
      <t xml:space="preserve">2 </t>
    </r>
  </si>
  <si>
    <r>
      <t>a</t>
    </r>
    <r>
      <rPr>
        <vertAlign val="subscript"/>
        <sz val="10"/>
        <rFont val="Arial"/>
        <family val="2"/>
      </rPr>
      <t xml:space="preserve">n </t>
    </r>
  </si>
  <si>
    <r>
      <t>b</t>
    </r>
    <r>
      <rPr>
        <vertAlign val="subscript"/>
        <sz val="10"/>
        <rFont val="Arial"/>
        <family val="2"/>
      </rPr>
      <t>1</t>
    </r>
    <r>
      <rPr>
        <sz val="10"/>
        <rFont val="Arial"/>
        <family val="2"/>
      </rPr>
      <t>, b</t>
    </r>
    <r>
      <rPr>
        <vertAlign val="subscript"/>
        <sz val="10"/>
        <rFont val="Arial"/>
        <family val="2"/>
      </rPr>
      <t>2</t>
    </r>
    <r>
      <rPr>
        <sz val="10"/>
        <rFont val="Arial"/>
        <family val="2"/>
      </rPr>
      <t xml:space="preserve"> </t>
    </r>
  </si>
  <si>
    <r>
      <t>W</t>
    </r>
    <r>
      <rPr>
        <vertAlign val="subscript"/>
        <sz val="10"/>
        <rFont val="Arial"/>
        <family val="2"/>
      </rPr>
      <t>k1</t>
    </r>
    <r>
      <rPr>
        <sz val="10"/>
        <rFont val="Arial"/>
        <family val="2"/>
      </rPr>
      <t>,W</t>
    </r>
    <r>
      <rPr>
        <vertAlign val="subscript"/>
        <sz val="10"/>
        <rFont val="Arial"/>
        <family val="2"/>
      </rPr>
      <t xml:space="preserve">k2 </t>
    </r>
  </si>
  <si>
    <t>n</t>
  </si>
  <si>
    <r>
      <t>s</t>
    </r>
    <r>
      <rPr>
        <vertAlign val="subscript"/>
        <sz val="10"/>
        <rFont val="Arial"/>
        <family val="2"/>
      </rPr>
      <t>Flim</t>
    </r>
  </si>
  <si>
    <r>
      <t>s</t>
    </r>
    <r>
      <rPr>
        <vertAlign val="subscript"/>
        <sz val="10"/>
        <rFont val="Arial"/>
        <family val="2"/>
      </rPr>
      <t>Hlim</t>
    </r>
  </si>
  <si>
    <r>
      <t>R</t>
    </r>
    <r>
      <rPr>
        <vertAlign val="subscript"/>
        <sz val="10"/>
        <rFont val="Arial"/>
        <family val="2"/>
      </rPr>
      <t>z</t>
    </r>
  </si>
  <si>
    <t>TR</t>
  </si>
  <si>
    <t>DE</t>
  </si>
  <si>
    <t>EN</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</si>
  <si>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</si>
  <si>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</si>
  <si>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</si>
  <si>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</si>
  <si>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</si>
  <si>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</si>
  <si>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</si>
  <si>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</si>
  <si>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</si>
  <si>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r>
      <t>n</t>
    </r>
    <r>
      <rPr>
        <vertAlign val="subscript"/>
        <sz val="10"/>
        <rFont val="Arial"/>
        <family val="2"/>
      </rPr>
      <t>2</t>
    </r>
  </si>
  <si>
    <t>[-]</t>
  </si>
  <si>
    <t>°</t>
  </si>
  <si>
    <r>
      <t>[</t>
    </r>
    <r>
      <rPr>
        <sz val="10"/>
        <rFont val="Arial"/>
        <family val="2"/>
      </rPr>
      <t>-]</t>
    </r>
  </si>
  <si>
    <r>
      <t>m</t>
    </r>
    <r>
      <rPr>
        <sz val="10"/>
        <rFont val="Arial"/>
        <family val="2"/>
      </rPr>
      <t>m</t>
    </r>
  </si>
  <si>
    <r>
      <t>n</t>
    </r>
    <r>
      <rPr>
        <vertAlign val="subscript"/>
        <sz val="10"/>
        <rFont val="Arial"/>
        <family val="2"/>
      </rPr>
      <t>1</t>
    </r>
  </si>
  <si>
    <r>
      <t>M</t>
    </r>
    <r>
      <rPr>
        <vertAlign val="subscript"/>
        <sz val="10"/>
        <rFont val="Arial"/>
        <family val="2"/>
      </rPr>
      <t>t</t>
    </r>
  </si>
  <si>
    <r>
      <t>z</t>
    </r>
    <r>
      <rPr>
        <vertAlign val="subscript"/>
        <sz val="10"/>
        <rFont val="Arial"/>
        <family val="2"/>
      </rPr>
      <t>1</t>
    </r>
  </si>
  <si>
    <r>
      <t>z</t>
    </r>
    <r>
      <rPr>
        <vertAlign val="subscript"/>
        <sz val="10"/>
        <rFont val="Arial"/>
        <family val="2"/>
      </rPr>
      <t>2</t>
    </r>
  </si>
  <si>
    <r>
      <t>b</t>
    </r>
    <r>
      <rPr>
        <vertAlign val="subscript"/>
        <sz val="10"/>
        <rFont val="Arial"/>
        <family val="2"/>
      </rPr>
      <t>1</t>
    </r>
  </si>
  <si>
    <r>
      <t>b</t>
    </r>
    <r>
      <rPr>
        <vertAlign val="subscript"/>
        <sz val="10"/>
        <rFont val="Arial"/>
        <family val="2"/>
      </rPr>
      <t>2</t>
    </r>
  </si>
  <si>
    <r>
      <t>R</t>
    </r>
    <r>
      <rPr>
        <vertAlign val="subscript"/>
        <sz val="10"/>
        <rFont val="Arial"/>
        <family val="2"/>
      </rPr>
      <t>z1</t>
    </r>
  </si>
  <si>
    <r>
      <t>E</t>
    </r>
    <r>
      <rPr>
        <vertAlign val="subscript"/>
        <sz val="10"/>
        <rFont val="Arial"/>
        <family val="2"/>
      </rPr>
      <t>din</t>
    </r>
  </si>
  <si>
    <t>HB</t>
  </si>
  <si>
    <r>
      <t>e</t>
    </r>
    <r>
      <rPr>
        <vertAlign val="subscript"/>
        <sz val="12"/>
        <rFont val="Symbol"/>
        <family val="1"/>
      </rPr>
      <t>a</t>
    </r>
  </si>
  <si>
    <r>
      <t>A</t>
    </r>
    <r>
      <rPr>
        <vertAlign val="subscript"/>
        <sz val="12"/>
        <rFont val="Arial"/>
        <family val="2"/>
      </rPr>
      <t>üWk</t>
    </r>
  </si>
  <si>
    <r>
      <t>A</t>
    </r>
    <r>
      <rPr>
        <vertAlign val="subscript"/>
        <sz val="12"/>
        <rFont val="Arial"/>
        <family val="2"/>
      </rPr>
      <t>aWk</t>
    </r>
  </si>
  <si>
    <r>
      <t>W</t>
    </r>
    <r>
      <rPr>
        <vertAlign val="subscript"/>
        <sz val="12"/>
        <rFont val="Arial"/>
        <family val="2"/>
      </rPr>
      <t>kü</t>
    </r>
  </si>
  <si>
    <r>
      <t>W</t>
    </r>
    <r>
      <rPr>
        <vertAlign val="subscript"/>
        <sz val="12"/>
        <rFont val="Arial"/>
        <family val="2"/>
      </rPr>
      <t>ka</t>
    </r>
  </si>
  <si>
    <r>
      <t>d</t>
    </r>
    <r>
      <rPr>
        <vertAlign val="subscript"/>
        <sz val="12"/>
        <rFont val="Arial"/>
        <family val="2"/>
      </rPr>
      <t>b1</t>
    </r>
    <r>
      <rPr>
        <sz val="10"/>
        <rFont val="Arial"/>
        <family val="2"/>
      </rPr>
      <t>,d</t>
    </r>
    <r>
      <rPr>
        <vertAlign val="subscript"/>
        <sz val="12"/>
        <rFont val="Arial"/>
        <family val="2"/>
      </rPr>
      <t xml:space="preserve">b2 </t>
    </r>
  </si>
  <si>
    <r>
      <t>e</t>
    </r>
    <r>
      <rPr>
        <vertAlign val="subscript"/>
        <sz val="12"/>
        <rFont val="Symbol"/>
        <family val="1"/>
      </rPr>
      <t>b</t>
    </r>
  </si>
  <si>
    <r>
      <t>d</t>
    </r>
    <r>
      <rPr>
        <vertAlign val="subscript"/>
        <sz val="12"/>
        <rFont val="Arial"/>
        <family val="2"/>
      </rPr>
      <t>a1</t>
    </r>
    <r>
      <rPr>
        <sz val="10"/>
        <rFont val="Arial"/>
        <family val="2"/>
      </rPr>
      <t>,d</t>
    </r>
    <r>
      <rPr>
        <vertAlign val="subscript"/>
        <sz val="12"/>
        <rFont val="Arial"/>
        <family val="2"/>
      </rPr>
      <t>a2</t>
    </r>
    <r>
      <rPr>
        <vertAlign val="subscript"/>
        <sz val="10"/>
        <rFont val="Arial"/>
        <family val="2"/>
      </rPr>
      <t xml:space="preserve"> </t>
    </r>
  </si>
  <si>
    <r>
      <t>k</t>
    </r>
    <r>
      <rPr>
        <vertAlign val="subscript"/>
        <sz val="12"/>
        <rFont val="Arial"/>
        <family val="2"/>
      </rPr>
      <t>1</t>
    </r>
    <r>
      <rPr>
        <sz val="10"/>
        <rFont val="Arial"/>
        <family val="2"/>
      </rPr>
      <t>,k</t>
    </r>
    <r>
      <rPr>
        <vertAlign val="subscript"/>
        <sz val="12"/>
        <rFont val="Arial"/>
        <family val="2"/>
      </rPr>
      <t>2</t>
    </r>
  </si>
  <si>
    <r>
      <t>d</t>
    </r>
    <r>
      <rPr>
        <vertAlign val="subscript"/>
        <sz val="12"/>
        <rFont val="Arial"/>
        <family val="2"/>
      </rPr>
      <t>1</t>
    </r>
    <r>
      <rPr>
        <sz val="10"/>
        <rFont val="Arial"/>
        <family val="2"/>
      </rPr>
      <t>, d</t>
    </r>
    <r>
      <rPr>
        <vertAlign val="subscript"/>
        <sz val="12"/>
        <rFont val="Arial"/>
        <family val="2"/>
      </rPr>
      <t xml:space="preserve">2 </t>
    </r>
    <r>
      <rPr>
        <vertAlign val="subscript"/>
        <sz val="10"/>
        <rFont val="Arial"/>
        <family val="2"/>
      </rPr>
      <t xml:space="preserve"> </t>
    </r>
    <r>
      <rPr>
        <sz val="10"/>
        <rFont val="Arial"/>
        <family val="2"/>
      </rPr>
      <t xml:space="preserve">  </t>
    </r>
  </si>
  <si>
    <r>
      <t>x</t>
    </r>
    <r>
      <rPr>
        <vertAlign val="subscript"/>
        <sz val="12"/>
        <rFont val="Arial"/>
        <family val="2"/>
      </rPr>
      <t>1</t>
    </r>
    <r>
      <rPr>
        <sz val="10"/>
        <rFont val="Arial"/>
        <family val="2"/>
      </rPr>
      <t>, x</t>
    </r>
    <r>
      <rPr>
        <vertAlign val="subscript"/>
        <sz val="12"/>
        <rFont val="Arial"/>
        <family val="2"/>
      </rPr>
      <t>2</t>
    </r>
    <r>
      <rPr>
        <sz val="10"/>
        <rFont val="Arial"/>
        <family val="2"/>
      </rPr>
      <t xml:space="preserve"> </t>
    </r>
  </si>
  <si>
    <r>
      <t>z</t>
    </r>
    <r>
      <rPr>
        <vertAlign val="subscript"/>
        <sz val="12"/>
        <rFont val="Arial"/>
        <family val="2"/>
      </rPr>
      <t>n1</t>
    </r>
    <r>
      <rPr>
        <sz val="10"/>
        <rFont val="Arial"/>
        <family val="2"/>
      </rPr>
      <t>, z</t>
    </r>
    <r>
      <rPr>
        <vertAlign val="subscript"/>
        <sz val="12"/>
        <rFont val="Arial"/>
        <family val="2"/>
      </rPr>
      <t xml:space="preserve">n2 </t>
    </r>
  </si>
  <si>
    <r>
      <t>b</t>
    </r>
    <r>
      <rPr>
        <vertAlign val="subscript"/>
        <sz val="12"/>
        <rFont val="Arial"/>
        <family val="2"/>
      </rPr>
      <t>b</t>
    </r>
    <r>
      <rPr>
        <vertAlign val="subscript"/>
        <sz val="10"/>
        <rFont val="Arial"/>
        <family val="2"/>
      </rPr>
      <t xml:space="preserve">   </t>
    </r>
    <r>
      <rPr>
        <sz val="10"/>
        <rFont val="Arial"/>
        <family val="2"/>
      </rPr>
      <t xml:space="preserve">  </t>
    </r>
  </si>
  <si>
    <r>
      <t>k.m</t>
    </r>
    <r>
      <rPr>
        <vertAlign val="subscript"/>
        <sz val="12"/>
        <rFont val="Arial"/>
        <family val="2"/>
      </rPr>
      <t xml:space="preserve">n </t>
    </r>
    <r>
      <rPr>
        <vertAlign val="subscript"/>
        <sz val="10"/>
        <rFont val="Arial"/>
        <family val="2"/>
      </rPr>
      <t xml:space="preserve">  </t>
    </r>
  </si>
  <si>
    <r>
      <t>(x</t>
    </r>
    <r>
      <rPr>
        <vertAlign val="subscript"/>
        <sz val="12"/>
        <rFont val="Arial"/>
        <family val="2"/>
      </rPr>
      <t>1</t>
    </r>
    <r>
      <rPr>
        <sz val="10"/>
        <rFont val="Arial"/>
        <family val="2"/>
      </rPr>
      <t>+x</t>
    </r>
    <r>
      <rPr>
        <vertAlign val="subscript"/>
        <sz val="12"/>
        <rFont val="Arial"/>
        <family val="2"/>
      </rPr>
      <t>2</t>
    </r>
    <r>
      <rPr>
        <sz val="10"/>
        <rFont val="Arial"/>
        <family val="2"/>
      </rPr>
      <t>)</t>
    </r>
  </si>
  <si>
    <r>
      <t xml:space="preserve">inv </t>
    </r>
    <r>
      <rPr>
        <sz val="10"/>
        <rFont val="Symbol"/>
        <family val="1"/>
      </rPr>
      <t>a</t>
    </r>
    <r>
      <rPr>
        <vertAlign val="subscript"/>
        <sz val="12"/>
        <rFont val="Arial"/>
        <family val="2"/>
      </rPr>
      <t>wt</t>
    </r>
  </si>
  <si>
    <r>
      <t xml:space="preserve">inv </t>
    </r>
    <r>
      <rPr>
        <sz val="10"/>
        <rFont val="Symbol"/>
        <family val="1"/>
      </rPr>
      <t>a</t>
    </r>
    <r>
      <rPr>
        <vertAlign val="subscript"/>
        <sz val="12"/>
        <rFont val="Arial"/>
        <family val="2"/>
      </rPr>
      <t>t</t>
    </r>
  </si>
  <si>
    <r>
      <t>a</t>
    </r>
    <r>
      <rPr>
        <vertAlign val="subscript"/>
        <sz val="12"/>
        <rFont val="Arial"/>
        <family val="2"/>
      </rPr>
      <t>wt</t>
    </r>
    <r>
      <rPr>
        <vertAlign val="subscript"/>
        <sz val="10"/>
        <rFont val="Arial"/>
        <family val="2"/>
      </rPr>
      <t xml:space="preserve">    </t>
    </r>
  </si>
  <si>
    <r>
      <t>a</t>
    </r>
    <r>
      <rPr>
        <vertAlign val="subscript"/>
        <sz val="12"/>
        <rFont val="Arial"/>
        <family val="2"/>
      </rPr>
      <t>o</t>
    </r>
    <r>
      <rPr>
        <vertAlign val="subscript"/>
        <sz val="10"/>
        <rFont val="Arial"/>
        <family val="2"/>
      </rPr>
      <t xml:space="preserve"> </t>
    </r>
    <r>
      <rPr>
        <sz val="10"/>
        <rFont val="Arial"/>
        <family val="2"/>
      </rPr>
      <t xml:space="preserve">      </t>
    </r>
  </si>
  <si>
    <r>
      <t>a</t>
    </r>
    <r>
      <rPr>
        <vertAlign val="subscript"/>
        <sz val="12"/>
        <rFont val="Arial"/>
        <family val="2"/>
      </rPr>
      <t>t</t>
    </r>
    <r>
      <rPr>
        <vertAlign val="subscript"/>
        <sz val="10"/>
        <rFont val="Arial"/>
        <family val="2"/>
      </rPr>
      <t xml:space="preserve">      </t>
    </r>
  </si>
  <si>
    <r>
      <t>m</t>
    </r>
    <r>
      <rPr>
        <vertAlign val="subscript"/>
        <sz val="12"/>
        <rFont val="Arial"/>
        <family val="2"/>
      </rPr>
      <t xml:space="preserve">t </t>
    </r>
    <r>
      <rPr>
        <sz val="12"/>
        <rFont val="Arial"/>
        <family val="2"/>
      </rPr>
      <t xml:space="preserve"> </t>
    </r>
    <r>
      <rPr>
        <sz val="10"/>
        <rFont val="Arial"/>
        <family val="2"/>
      </rPr>
      <t xml:space="preserve">     </t>
    </r>
  </si>
  <si>
    <r>
      <t>A</t>
    </r>
    <r>
      <rPr>
        <vertAlign val="subscript"/>
        <sz val="12"/>
        <rFont val="Arial"/>
        <family val="2"/>
      </rPr>
      <t>a</t>
    </r>
  </si>
  <si>
    <r>
      <t>A</t>
    </r>
    <r>
      <rPr>
        <vertAlign val="subscript"/>
        <sz val="10"/>
        <rFont val="Arial"/>
        <family val="2"/>
      </rPr>
      <t>a</t>
    </r>
    <r>
      <rPr>
        <sz val="10"/>
        <rFont val="Arial"/>
        <family val="2"/>
      </rPr>
      <t xml:space="preserve"> (mm)</t>
    </r>
  </si>
  <si>
    <r>
      <t>A</t>
    </r>
    <r>
      <rPr>
        <vertAlign val="subscript"/>
        <sz val="12"/>
        <rFont val="Arial"/>
        <family val="2"/>
      </rPr>
      <t>sne</t>
    </r>
  </si>
  <si>
    <r>
      <t>T</t>
    </r>
    <r>
      <rPr>
        <vertAlign val="subscript"/>
        <sz val="12"/>
        <rFont val="Arial"/>
        <family val="2"/>
      </rPr>
      <t>sn</t>
    </r>
  </si>
  <si>
    <t>a1</t>
  </si>
  <si>
    <t>d11</t>
  </si>
  <si>
    <t>d21</t>
  </si>
  <si>
    <r>
      <t>s</t>
    </r>
    <r>
      <rPr>
        <vertAlign val="subscript"/>
        <sz val="10"/>
        <rFont val="Arial"/>
        <family val="2"/>
      </rPr>
      <t>FG</t>
    </r>
  </si>
  <si>
    <r>
      <t>s</t>
    </r>
    <r>
      <rPr>
        <vertAlign val="subscript"/>
        <sz val="10"/>
        <rFont val="Arial"/>
        <family val="2"/>
      </rPr>
      <t>Hhes</t>
    </r>
  </si>
  <si>
    <r>
      <t>s</t>
    </r>
    <r>
      <rPr>
        <vertAlign val="subscript"/>
        <sz val="10"/>
        <rFont val="Arial"/>
        <family val="2"/>
      </rPr>
      <t>HG</t>
    </r>
  </si>
  <si>
    <r>
      <t>S</t>
    </r>
    <r>
      <rPr>
        <vertAlign val="subscript"/>
        <sz val="10"/>
        <rFont val="Arial"/>
        <family val="2"/>
      </rPr>
      <t>Fhes</t>
    </r>
  </si>
  <si>
    <r>
      <t>S</t>
    </r>
    <r>
      <rPr>
        <vertAlign val="subscript"/>
        <sz val="10"/>
        <rFont val="Arial"/>
        <family val="2"/>
      </rPr>
      <t>Hhes</t>
    </r>
  </si>
  <si>
    <t>Türkçe için, lütfen " 1 " yaz ve "Enter" i tuşla.</t>
  </si>
  <si>
    <t>Für Deutsch, tippen Sie bitte " 2 " ein und enter.</t>
  </si>
  <si>
    <t>For English, please type " 3 " and press "enter".</t>
  </si>
  <si>
    <t>Malzeme</t>
  </si>
  <si>
    <t>Normal modül [mm]</t>
  </si>
  <si>
    <t>a =</t>
  </si>
  <si>
    <t>v =</t>
  </si>
  <si>
    <t>m/sek</t>
  </si>
  <si>
    <t>Yükleme sayısı</t>
  </si>
  <si>
    <t>www.guven-kutay.ch</t>
  </si>
  <si>
    <t>Helis disliler</t>
  </si>
  <si>
    <t>Düz disliler</t>
  </si>
  <si>
    <r>
      <t>e</t>
    </r>
    <r>
      <rPr>
        <vertAlign val="subscript"/>
        <sz val="12"/>
        <rFont val="Symbol"/>
        <family val="1"/>
      </rPr>
      <t>a</t>
    </r>
    <r>
      <rPr>
        <vertAlign val="subscript"/>
        <sz val="12"/>
        <rFont val="Times New Roman"/>
        <family val="1"/>
      </rPr>
      <t>n1</t>
    </r>
  </si>
  <si>
    <t>u =</t>
  </si>
  <si>
    <t>b =</t>
  </si>
  <si>
    <t>Ft =</t>
  </si>
  <si>
    <r>
      <t>E</t>
    </r>
    <r>
      <rPr>
        <vertAlign val="subscript"/>
        <sz val="10"/>
        <rFont val="Arial"/>
        <family val="2"/>
      </rPr>
      <t>dyn</t>
    </r>
  </si>
  <si>
    <r>
      <t>s</t>
    </r>
    <r>
      <rPr>
        <vertAlign val="subscript"/>
        <sz val="10"/>
        <rFont val="Arial"/>
        <family val="2"/>
      </rPr>
      <t>FO</t>
    </r>
  </si>
  <si>
    <r>
      <t>s</t>
    </r>
    <r>
      <rPr>
        <vertAlign val="subscript"/>
        <sz val="10"/>
        <rFont val="Arial"/>
        <family val="2"/>
      </rPr>
      <t>HY</t>
    </r>
  </si>
  <si>
    <r>
      <t>Y</t>
    </r>
    <r>
      <rPr>
        <vertAlign val="subscript"/>
        <sz val="10"/>
        <rFont val="Arial"/>
        <family val="2"/>
      </rPr>
      <t>Fa</t>
    </r>
    <r>
      <rPr>
        <sz val="10"/>
        <rFont val="Arial"/>
        <family val="2"/>
      </rPr>
      <t xml:space="preserve"> </t>
    </r>
  </si>
  <si>
    <r>
      <t>Y</t>
    </r>
    <r>
      <rPr>
        <vertAlign val="subscript"/>
        <sz val="10"/>
        <rFont val="Arial"/>
        <family val="2"/>
      </rPr>
      <t>Sa</t>
    </r>
  </si>
  <si>
    <r>
      <t>Y</t>
    </r>
    <r>
      <rPr>
        <sz val="10"/>
        <rFont val="Symbol"/>
        <family val="1"/>
      </rPr>
      <t>e</t>
    </r>
  </si>
  <si>
    <r>
      <t>K</t>
    </r>
    <r>
      <rPr>
        <vertAlign val="subscript"/>
        <sz val="10"/>
        <rFont val="Arial"/>
        <family val="2"/>
      </rPr>
      <t>İŞ</t>
    </r>
  </si>
  <si>
    <r>
      <t>Y</t>
    </r>
    <r>
      <rPr>
        <vertAlign val="subscript"/>
        <sz val="10"/>
        <rFont val="Symbol"/>
        <family val="1"/>
      </rPr>
      <t>b</t>
    </r>
  </si>
  <si>
    <r>
      <t>K</t>
    </r>
    <r>
      <rPr>
        <vertAlign val="subscript"/>
        <sz val="10"/>
        <rFont val="Arial"/>
        <family val="2"/>
      </rPr>
      <t xml:space="preserve">V </t>
    </r>
  </si>
  <si>
    <r>
      <t>K</t>
    </r>
    <r>
      <rPr>
        <vertAlign val="subscript"/>
        <sz val="10"/>
        <rFont val="Arial"/>
        <family val="2"/>
      </rPr>
      <t>H</t>
    </r>
    <r>
      <rPr>
        <vertAlign val="subscript"/>
        <sz val="10"/>
        <rFont val="Symbol"/>
        <family val="1"/>
      </rPr>
      <t>b</t>
    </r>
  </si>
  <si>
    <r>
      <t>s</t>
    </r>
    <r>
      <rPr>
        <vertAlign val="subscript"/>
        <sz val="10"/>
        <rFont val="Arial"/>
        <family val="2"/>
      </rPr>
      <t>Fhes</t>
    </r>
  </si>
  <si>
    <r>
      <t>K</t>
    </r>
    <r>
      <rPr>
        <vertAlign val="subscript"/>
        <sz val="10"/>
        <rFont val="Arial"/>
        <family val="2"/>
      </rPr>
      <t>H</t>
    </r>
    <r>
      <rPr>
        <vertAlign val="subscript"/>
        <sz val="10"/>
        <rFont val="Symbol"/>
        <family val="1"/>
      </rPr>
      <t>a</t>
    </r>
    <r>
      <rPr>
        <vertAlign val="subscript"/>
        <sz val="10"/>
        <rFont val="Arial"/>
        <family val="2"/>
      </rPr>
      <t xml:space="preserve"> </t>
    </r>
  </si>
  <si>
    <r>
      <t>s</t>
    </r>
    <r>
      <rPr>
        <vertAlign val="subscript"/>
        <sz val="10"/>
        <rFont val="Arial"/>
        <family val="2"/>
      </rPr>
      <t>HO</t>
    </r>
  </si>
  <si>
    <r>
      <t>K</t>
    </r>
    <r>
      <rPr>
        <vertAlign val="subscript"/>
        <sz val="10"/>
        <rFont val="Arial"/>
        <family val="2"/>
      </rPr>
      <t>F</t>
    </r>
    <r>
      <rPr>
        <vertAlign val="subscript"/>
        <sz val="10"/>
        <rFont val="Symbol"/>
        <family val="1"/>
      </rPr>
      <t>b</t>
    </r>
  </si>
  <si>
    <r>
      <t>Z</t>
    </r>
    <r>
      <rPr>
        <vertAlign val="subscript"/>
        <sz val="10"/>
        <rFont val="Symbol"/>
        <family val="1"/>
      </rPr>
      <t>e</t>
    </r>
    <r>
      <rPr>
        <sz val="10"/>
        <rFont val="Arial"/>
        <family val="2"/>
      </rPr>
      <t xml:space="preserve"> </t>
    </r>
  </si>
  <si>
    <r>
      <t>K</t>
    </r>
    <r>
      <rPr>
        <vertAlign val="subscript"/>
        <sz val="10"/>
        <rFont val="Arial"/>
        <family val="2"/>
      </rPr>
      <t>F</t>
    </r>
    <r>
      <rPr>
        <vertAlign val="subscript"/>
        <sz val="10"/>
        <rFont val="Symbol"/>
        <family val="1"/>
      </rPr>
      <t>a</t>
    </r>
  </si>
  <si>
    <r>
      <t>Z</t>
    </r>
    <r>
      <rPr>
        <vertAlign val="subscript"/>
        <sz val="10"/>
        <rFont val="Symbol"/>
        <family val="1"/>
      </rPr>
      <t>b</t>
    </r>
  </si>
  <si>
    <r>
      <t>Z</t>
    </r>
    <r>
      <rPr>
        <vertAlign val="subscript"/>
        <sz val="10"/>
        <rFont val="Arial"/>
        <family val="2"/>
      </rPr>
      <t>H</t>
    </r>
  </si>
  <si>
    <r>
      <t>Z</t>
    </r>
    <r>
      <rPr>
        <vertAlign val="subscript"/>
        <sz val="10"/>
        <rFont val="Arial"/>
        <family val="2"/>
      </rPr>
      <t>E</t>
    </r>
  </si>
  <si>
    <r>
      <t>Z</t>
    </r>
    <r>
      <rPr>
        <vertAlign val="subscript"/>
        <sz val="10"/>
        <rFont val="Arial"/>
        <family val="2"/>
      </rPr>
      <t xml:space="preserve">NT </t>
    </r>
  </si>
  <si>
    <r>
      <t>Z</t>
    </r>
    <r>
      <rPr>
        <vertAlign val="subscript"/>
        <sz val="10"/>
        <rFont val="Arial"/>
        <family val="2"/>
      </rPr>
      <t>L</t>
    </r>
  </si>
  <si>
    <r>
      <t>Z</t>
    </r>
    <r>
      <rPr>
        <vertAlign val="subscript"/>
        <sz val="10"/>
        <rFont val="Arial"/>
        <family val="2"/>
      </rPr>
      <t>V</t>
    </r>
  </si>
  <si>
    <r>
      <t>Z</t>
    </r>
    <r>
      <rPr>
        <vertAlign val="subscript"/>
        <sz val="10"/>
        <rFont val="Arial"/>
        <family val="2"/>
      </rPr>
      <t>R</t>
    </r>
  </si>
  <si>
    <r>
      <t>Z</t>
    </r>
    <r>
      <rPr>
        <vertAlign val="subscript"/>
        <sz val="10"/>
        <rFont val="Arial"/>
        <family val="2"/>
      </rPr>
      <t xml:space="preserve">W  </t>
    </r>
  </si>
  <si>
    <r>
      <t>S</t>
    </r>
    <r>
      <rPr>
        <vertAlign val="subscript"/>
        <sz val="10"/>
        <rFont val="Arial"/>
        <family val="2"/>
      </rPr>
      <t>Fger</t>
    </r>
  </si>
  <si>
    <r>
      <t>Z</t>
    </r>
    <r>
      <rPr>
        <vertAlign val="subscript"/>
        <sz val="10"/>
        <rFont val="Arial"/>
        <family val="2"/>
      </rPr>
      <t>X</t>
    </r>
    <r>
      <rPr>
        <sz val="10"/>
        <rFont val="Arial"/>
        <family val="2"/>
      </rPr>
      <t xml:space="preserve"> </t>
    </r>
  </si>
  <si>
    <r>
      <t>S</t>
    </r>
    <r>
      <rPr>
        <vertAlign val="subscript"/>
        <sz val="10"/>
        <rFont val="Arial"/>
        <family val="2"/>
      </rPr>
      <t>Hger</t>
    </r>
  </si>
  <si>
    <t>I</t>
  </si>
  <si>
    <t>II</t>
  </si>
  <si>
    <t>III</t>
  </si>
  <si>
    <t>IV</t>
  </si>
  <si>
    <t>A</t>
  </si>
  <si>
    <t>1,0</t>
  </si>
  <si>
    <t>1,1</t>
  </si>
  <si>
    <t>1,25</t>
  </si>
  <si>
    <t>1,5</t>
  </si>
  <si>
    <t>B</t>
  </si>
  <si>
    <t>1,35</t>
  </si>
  <si>
    <t>1,75</t>
  </si>
  <si>
    <t>C</t>
  </si>
  <si>
    <t>1,6</t>
  </si>
  <si>
    <t>&gt;2,0</t>
  </si>
  <si>
    <t>D</t>
  </si>
  <si>
    <t>1,85</t>
  </si>
  <si>
    <t>2,0</t>
  </si>
  <si>
    <t>&gt;2,25</t>
  </si>
  <si>
    <t>İşletme faktörü dişli çarkın kullanıldığı işletmedeki kuvvetlerin dalgalanmasını ve tahrik elemanı ile tahrik edilen makinanın zorlanma dalgalanmalarını belirler.</t>
  </si>
  <si>
    <t>Der Anwendungsfaktor berücksichtigt den Einfluss der Belastungsschwankungen von der An- und Abtriebsmaschine. Wenn der Anwendungsfaktor bekannt ist, geben Sie ihn ein, sonst benützen Sie die folgenden Tabellenwerte.</t>
  </si>
  <si>
    <t>The application factor considers the influence of the varying load conditions from the drive and driving machine. If the application factor is known, you enter him, otherwise, you use the following table values.</t>
  </si>
  <si>
    <t>Örneğin: Rayda çalışan makinalar, jeneratörler, ceraskallar, takım tezgahları, makaslar, presler, lastik bantlı konveyyörler, hafif yük asansörleri, turbo kompresör, turbo körük, havalandırıcılar, homojen yoğunluklu madde karıştırıcıları ve  yoğurucuları, ...</t>
  </si>
  <si>
    <t>z. B. :Schienenfahrzeuge, Generatoren, Elektroflaschenzüge, Werkzeugmaschinen, Scheren, Pressen, Stanzmaschine, Gurtförderer, leichte Aufzüge, Turboverdichter, Turbobläse, Lüfter, Rührer und Mischer für Stoffe mit gleichmässiger Dichte, ...</t>
  </si>
  <si>
    <t>For example; railway vehicle, generators, hoist, light machine tools, shears, presses, punching machine, band conveyor, light lifts, turbocompressor, turbo blower, exhauster, agitator  and mixing machine for constant density, ...</t>
  </si>
  <si>
    <t>Örneğin: Yol inşaat makinaları, yük asansörleri, çelik bantlı konveyyörler, inşaat asansörleri, vinç dönüş mekanizmaları, tambur kurutucular, boru hattı pompaları, planyalar, homojen yoğunluklta olmayan madde karıştırıcı ve yoğurucuları, endüstiri ve maden ocağı havalandırıcıları, Santrafuj pompalar, çok silindirli pistonlu pompalar, ...</t>
  </si>
  <si>
    <t>z. B. : Strassenbaumaschinen, Lastaufzüge, Gutförderer mit Stahlband, Bauaufzüge, Drehwerke von Kränen, Trockenmaschienen, Zuteilpumpen, Hobelmaschinen, Rührer und Mischer für Stoffe mit ungleichmässiger Dichte, Industrie- und Grubenlüfter, Kreiselpumpen,  Kolbenpumpen mit mehrerern Zylindern,  ...</t>
  </si>
  <si>
    <t>For example; Road-building machinery, burden elevators, property conveyor with steel tape, builder's hoists, knack factories of cranes, dry milliampere splint, assigning pumps, planers, mixers and mixers for cloths with uneven density, industry and mine fan, centrifugal pumps, reciprocating pumps with several coils, ...</t>
  </si>
  <si>
    <t>Örneğin: Hafif akışkanlı çalkalayıcılar, santrfujlar, Lastik bantlı konveyyörler, kovalı elevatörler, vantilatörler, ağaç işleme makinaları, vinç yürüyüşleri, dönüş tertibatları, takım tezgahları yardımcı tahrikleri, şişe ve kavanoz doldurma makinaları, ambalaj makinaları, hafif akışkan türbinler, ...</t>
  </si>
  <si>
    <t>z.B. : Hubwerke von Kränen, Holzbearbeitungsmaschinen, Kugelmühlen, Einzylinder-Kolbenpumpen, Extruder für Gummi, Mischer mit unterbrochenem Betrieb  (Gummi, Kunststoffe).</t>
  </si>
  <si>
    <t>For example; Lifting gears of cranes, woodworking machines, bullet mills, single-cylinder reciprocating pumps, extruder for rubber, mixer with intermittent company (rubbers, epoxies), ...</t>
  </si>
  <si>
    <t>Örneğin: Zincirli kovalı ekskavatörler, paletli yürüyüşler, kovalı çarklar, kesici kafalar, kuyu açma mekanizmaları, insan asansörleri, eğik asansörler, yoğurma ve silindirleme makinaları, vinçler ve bumlar, şahmerdanlar, planyalar, presler, makaslar, sıcak basma presleri, haddeler, ağaç işleme makinaları, şerit testereler, tuğla ve briket presleri, şeker kamışı öğütücüleri, pistonlu pompalar ve kompresörler, kırıcılar, değirmenler, ...</t>
  </si>
  <si>
    <t>z.B. : Bagger, schwere Kugelmühlen, Gummikneter, Brecher (Stein, Erz), Hüttenmaschinen, Ziegelpressen, Brikettpressen, Schälmaschinen, Rotary-Bohranlagen, Kaltbandwalzwerke, u.s.w.</t>
  </si>
  <si>
    <t>For example; Diggers, heavy bullet mills, rubber knead, breakers (stone, ore), steel machines, brick moulding machines, briquette presses, decorticators, Rotary oil-well drilling installations, cold tape mills, …</t>
  </si>
  <si>
    <t>0,7...1,0</t>
  </si>
  <si>
    <t>0,5...0,7</t>
  </si>
  <si>
    <t>1,4</t>
  </si>
  <si>
    <t>1,4...1,5</t>
  </si>
  <si>
    <t>0,8...1,2</t>
  </si>
  <si>
    <t>1,2...1,4</t>
  </si>
  <si>
    <t>0,8...1,0</t>
  </si>
  <si>
    <t>1,8</t>
  </si>
  <si>
    <t>1,3</t>
  </si>
  <si>
    <t>1,6...3,0</t>
  </si>
  <si>
    <t>1,3...1,6</t>
  </si>
  <si>
    <t>1,4...2,0</t>
  </si>
  <si>
    <t>DIN867</t>
  </si>
  <si>
    <t>Yüzey kalitesi</t>
  </si>
  <si>
    <t>Rz =</t>
  </si>
  <si>
    <t xml:space="preserve">Bu bir yineleme hesabıdır. Mavi karelerde "#ZAHL! " veya " #DIV0!" görüldüğünde, "#ZAHL! "  veya " #DIV0!" yerine "=Tetanın kare numarasını" (bir üst kare) veriniz. Daha sonra standart çubukta şu emirleri veriniz: </t>
  </si>
  <si>
    <t>Araçlar  /  Seçenekler  /  Hesaplama  / yinelemeyi çengelleyin /  Şimdi Hesapla (F9) veya Tamam'a basın.</t>
  </si>
  <si>
    <t xml:space="preserve">Es ist eine Iterationsrechnung. Wenn hier "#ZAHL! " oder " #DIV0!" erscheint, geben Sie bitte statt "#ZAHL! " die Zellennummer von Teta (obere Zelle) ein. Dann aus Fallmenü weitere befehle wählen: </t>
  </si>
  <si>
    <t>Extra  /  Optionen  /  Berechnen  / Iteration einhaken /  Neuberechnen (F9) oder OK tippen .</t>
  </si>
  <si>
    <t xml:space="preserve">It is an iteration bill. If here "#ZAHL! "Or" #DIV0!" appears, please, allow you"#ZAHL! "The cell number of Teta (upper cell) on. Then further from menu order choose: </t>
  </si>
  <si>
    <t>DIN e göre kalite</t>
  </si>
  <si>
    <t>... 20</t>
  </si>
  <si>
    <t xml:space="preserve">  &gt;20</t>
  </si>
  <si>
    <t>...  40</t>
  </si>
  <si>
    <t xml:space="preserve">  &gt; 40</t>
  </si>
  <si>
    <t>... 100</t>
  </si>
  <si>
    <t xml:space="preserve">  &gt; 100</t>
  </si>
  <si>
    <t>...  260</t>
  </si>
  <si>
    <t xml:space="preserve">  &gt; 260</t>
  </si>
  <si>
    <t>...  315</t>
  </si>
  <si>
    <t xml:space="preserve">  &gt; 315</t>
  </si>
  <si>
    <t>...  560</t>
  </si>
  <si>
    <t>&gt; 560</t>
  </si>
  <si>
    <t>6,5</t>
  </si>
  <si>
    <t>Çok rijid kasalı redüktör, 
Ft / b &lt; 200 N/mm</t>
  </si>
  <si>
    <t>Rijid kasalı redüktör, 
Ft / b &lt; 200-1000 N/mm</t>
  </si>
  <si>
    <t>Esnek kasalı redüktör, 
Ft / b &gt; 1000 N/mm</t>
  </si>
  <si>
    <t>h =</t>
  </si>
  <si>
    <t xml:space="preserve">b = </t>
  </si>
  <si>
    <t>N =</t>
  </si>
  <si>
    <t>Dişli kalitesi</t>
  </si>
  <si>
    <t>DIN 3962</t>
  </si>
  <si>
    <t>6 ... 12</t>
  </si>
  <si>
    <t>1)*</t>
  </si>
  <si>
    <t>Düz dişli</t>
  </si>
  <si>
    <t>1,2</t>
  </si>
  <si>
    <t>Helis dişli</t>
  </si>
  <si>
    <t>2)*</t>
  </si>
  <si>
    <t>3)*</t>
  </si>
  <si>
    <t>&gt; 100 N/mm</t>
  </si>
  <si>
    <t>&lt;100
N/mm</t>
  </si>
  <si>
    <t>Semente ve çevresel sertleştirilmiş veya nitrasyonla sertleştirilmiş dişliler.</t>
  </si>
  <si>
    <t>Sertleştirilmemiş, normal malzemeye ayrıca hiçbir şekilde müdahale edilmemiş dişliler.</t>
  </si>
  <si>
    <t>Faktor verilen formül ile hesaplanır. Elde edilen değer eşitlikte verilen değerden küçük çıksada, eşitlikte verilen değer alınır.</t>
  </si>
  <si>
    <t>=</t>
  </si>
  <si>
    <t>6-12</t>
  </si>
  <si>
    <t>&lt; 100</t>
  </si>
  <si>
    <t>&gt; 100</t>
  </si>
  <si>
    <t>mn =</t>
  </si>
  <si>
    <t xml:space="preserve">E = </t>
  </si>
  <si>
    <r>
      <t>J</t>
    </r>
    <r>
      <rPr>
        <sz val="10"/>
        <rFont val="Arial"/>
        <family val="2"/>
      </rPr>
      <t xml:space="preserve"> (Teta)</t>
    </r>
  </si>
  <si>
    <r>
      <t>G</t>
    </r>
    <r>
      <rPr>
        <vertAlign val="subscript"/>
        <sz val="10"/>
        <color indexed="10"/>
        <rFont val="Arial"/>
        <family val="2"/>
      </rPr>
      <t>1</t>
    </r>
    <r>
      <rPr>
        <sz val="10"/>
        <color indexed="10"/>
        <rFont val="Arial"/>
        <family val="2"/>
      </rPr>
      <t xml:space="preserve"> = </t>
    </r>
  </si>
  <si>
    <r>
      <t>G</t>
    </r>
    <r>
      <rPr>
        <vertAlign val="subscript"/>
        <sz val="10"/>
        <color indexed="10"/>
        <rFont val="Arial"/>
        <family val="2"/>
      </rPr>
      <t>2</t>
    </r>
    <r>
      <rPr>
        <sz val="10"/>
        <color indexed="10"/>
        <rFont val="Arial"/>
        <family val="2"/>
      </rPr>
      <t xml:space="preserve"> = </t>
    </r>
  </si>
  <si>
    <r>
      <t>z</t>
    </r>
    <r>
      <rPr>
        <vertAlign val="subscript"/>
        <sz val="10"/>
        <color indexed="10"/>
        <rFont val="Arial"/>
        <family val="2"/>
      </rPr>
      <t>n1</t>
    </r>
    <r>
      <rPr>
        <sz val="10"/>
        <color indexed="10"/>
        <rFont val="Arial"/>
        <family val="2"/>
      </rPr>
      <t xml:space="preserve"> = </t>
    </r>
  </si>
  <si>
    <r>
      <t>z</t>
    </r>
    <r>
      <rPr>
        <vertAlign val="subscript"/>
        <sz val="10"/>
        <color indexed="10"/>
        <rFont val="Arial"/>
        <family val="2"/>
      </rPr>
      <t>n2</t>
    </r>
    <r>
      <rPr>
        <sz val="10"/>
        <color indexed="10"/>
        <rFont val="Arial"/>
        <family val="2"/>
      </rPr>
      <t xml:space="preserve"> = </t>
    </r>
  </si>
  <si>
    <r>
      <t>H</t>
    </r>
    <r>
      <rPr>
        <vertAlign val="subscript"/>
        <sz val="10"/>
        <color indexed="10"/>
        <rFont val="Arial"/>
        <family val="2"/>
      </rPr>
      <t>1</t>
    </r>
    <r>
      <rPr>
        <sz val="10"/>
        <color indexed="10"/>
        <rFont val="Arial"/>
        <family val="2"/>
      </rPr>
      <t xml:space="preserve"> = </t>
    </r>
  </si>
  <si>
    <r>
      <t>H</t>
    </r>
    <r>
      <rPr>
        <vertAlign val="subscript"/>
        <sz val="10"/>
        <color indexed="10"/>
        <rFont val="Arial"/>
        <family val="2"/>
      </rPr>
      <t>2</t>
    </r>
    <r>
      <rPr>
        <sz val="10"/>
        <color indexed="10"/>
        <rFont val="Arial"/>
        <family val="2"/>
      </rPr>
      <t xml:space="preserve"> = </t>
    </r>
  </si>
  <si>
    <t>e-mail :  info@guven-kutay.ch</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</si>
  <si>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</si>
  <si>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</si>
  <si>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</si>
  <si>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E</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</si>
  <si>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</si>
  <si>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</si>
  <si>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</si>
  <si>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</si>
  <si>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</si>
  <si>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</si>
  <si>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</si>
  <si>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</si>
  <si>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</si>
  <si>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</si>
  <si>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</si>
  <si>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</si>
  <si>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</si>
  <si>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</si>
  <si>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</si>
  <si>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</si>
  <si>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</si>
  <si>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</si>
  <si>
    <t>Ysa</t>
  </si>
  <si>
    <t>0. Programın kullanılması</t>
  </si>
  <si>
    <t>0. Benützung des Programmes</t>
  </si>
  <si>
    <t>0. Using the program</t>
  </si>
  <si>
    <r>
      <t>K</t>
    </r>
    <r>
      <rPr>
        <vertAlign val="subscript"/>
        <sz val="12"/>
        <color indexed="10"/>
        <rFont val="Arial"/>
        <family val="2"/>
      </rPr>
      <t>IS</t>
    </r>
    <r>
      <rPr>
        <sz val="12"/>
        <color indexed="10"/>
        <rFont val="Arial"/>
        <family val="2"/>
      </rPr>
      <t xml:space="preserve"> =</t>
    </r>
  </si>
  <si>
    <r>
      <t>K</t>
    </r>
    <r>
      <rPr>
        <vertAlign val="subscript"/>
        <sz val="12"/>
        <color indexed="10"/>
        <rFont val="Arial"/>
        <family val="2"/>
      </rPr>
      <t>V</t>
    </r>
    <r>
      <rPr>
        <sz val="12"/>
        <color indexed="10"/>
        <rFont val="Arial"/>
        <family val="2"/>
      </rPr>
      <t xml:space="preserve"> =</t>
    </r>
  </si>
  <si>
    <r>
      <t>Z</t>
    </r>
    <r>
      <rPr>
        <vertAlign val="subscript"/>
        <sz val="12"/>
        <color indexed="10"/>
        <rFont val="Arial"/>
        <family val="2"/>
      </rPr>
      <t>e</t>
    </r>
    <r>
      <rPr>
        <sz val="12"/>
        <color indexed="10"/>
        <rFont val="Arial"/>
        <family val="2"/>
      </rPr>
      <t xml:space="preserve"> =</t>
    </r>
  </si>
  <si>
    <r>
      <t>Z</t>
    </r>
    <r>
      <rPr>
        <vertAlign val="subscript"/>
        <sz val="12"/>
        <color indexed="10"/>
        <rFont val="Arial"/>
        <family val="2"/>
      </rPr>
      <t>b</t>
    </r>
    <r>
      <rPr>
        <sz val="12"/>
        <color indexed="10"/>
        <rFont val="Arial"/>
        <family val="2"/>
      </rPr>
      <t xml:space="preserve"> =</t>
    </r>
  </si>
  <si>
    <r>
      <t>Z</t>
    </r>
    <r>
      <rPr>
        <vertAlign val="subscript"/>
        <sz val="12"/>
        <color indexed="10"/>
        <rFont val="Arial"/>
        <family val="2"/>
      </rPr>
      <t>H</t>
    </r>
    <r>
      <rPr>
        <sz val="12"/>
        <color indexed="10"/>
        <rFont val="Arial"/>
        <family val="2"/>
      </rPr>
      <t xml:space="preserve"> =</t>
    </r>
  </si>
  <si>
    <r>
      <t>Z</t>
    </r>
    <r>
      <rPr>
        <vertAlign val="subscript"/>
        <sz val="12"/>
        <color indexed="10"/>
        <rFont val="Arial"/>
        <family val="2"/>
      </rPr>
      <t xml:space="preserve">E </t>
    </r>
    <r>
      <rPr>
        <sz val="12"/>
        <color indexed="10"/>
        <rFont val="Arial"/>
        <family val="2"/>
      </rPr>
      <t>=</t>
    </r>
  </si>
  <si>
    <r>
      <t>s</t>
    </r>
    <r>
      <rPr>
        <vertAlign val="subscript"/>
        <sz val="12"/>
        <color indexed="10"/>
        <rFont val="Arial"/>
        <family val="2"/>
      </rPr>
      <t>Hhe</t>
    </r>
    <r>
      <rPr>
        <sz val="12"/>
        <color indexed="10"/>
        <rFont val="Arial"/>
        <family val="2"/>
      </rPr>
      <t xml:space="preserve"> =</t>
    </r>
  </si>
  <si>
    <r>
      <t>s</t>
    </r>
    <r>
      <rPr>
        <vertAlign val="subscript"/>
        <sz val="12"/>
        <color indexed="10"/>
        <rFont val="Arial"/>
        <family val="2"/>
      </rPr>
      <t>HG1</t>
    </r>
    <r>
      <rPr>
        <sz val="12"/>
        <color indexed="10"/>
        <rFont val="Arial"/>
        <family val="2"/>
      </rPr>
      <t xml:space="preserve"> =</t>
    </r>
  </si>
  <si>
    <r>
      <t>d</t>
    </r>
    <r>
      <rPr>
        <vertAlign val="subscript"/>
        <sz val="12"/>
        <rFont val="Arial"/>
        <family val="2"/>
      </rPr>
      <t>1</t>
    </r>
    <r>
      <rPr>
        <sz val="12"/>
        <rFont val="Arial"/>
        <family val="2"/>
      </rPr>
      <t xml:space="preserve"> =</t>
    </r>
  </si>
  <si>
    <r>
      <t>Y</t>
    </r>
    <r>
      <rPr>
        <vertAlign val="subscript"/>
        <sz val="12"/>
        <rFont val="Arial"/>
        <family val="2"/>
      </rPr>
      <t>NT</t>
    </r>
  </si>
  <si>
    <r>
      <t>N</t>
    </r>
    <r>
      <rPr>
        <vertAlign val="subscript"/>
        <sz val="12"/>
        <rFont val="Arial"/>
        <family val="2"/>
      </rPr>
      <t>L</t>
    </r>
    <r>
      <rPr>
        <sz val="12"/>
        <rFont val="Arial"/>
        <family val="2"/>
      </rPr>
      <t xml:space="preserve"> =</t>
    </r>
  </si>
  <si>
    <r>
      <t>Y</t>
    </r>
    <r>
      <rPr>
        <vertAlign val="subscript"/>
        <sz val="12"/>
        <rFont val="Arial"/>
        <family val="2"/>
      </rPr>
      <t>RelT</t>
    </r>
  </si>
  <si>
    <r>
      <t>R</t>
    </r>
    <r>
      <rPr>
        <vertAlign val="subscript"/>
        <sz val="12"/>
        <rFont val="Arial"/>
        <family val="2"/>
      </rPr>
      <t>z</t>
    </r>
    <r>
      <rPr>
        <sz val="12"/>
        <rFont val="Arial"/>
        <family val="2"/>
      </rPr>
      <t xml:space="preserve"> &lt; 1 mm</t>
    </r>
  </si>
  <si>
    <r>
      <t>1 mm &lt; R</t>
    </r>
    <r>
      <rPr>
        <vertAlign val="subscript"/>
        <sz val="12"/>
        <rFont val="Arial"/>
        <family val="2"/>
      </rPr>
      <t>z</t>
    </r>
    <r>
      <rPr>
        <sz val="12"/>
        <rFont val="Arial"/>
        <family val="2"/>
      </rPr>
      <t xml:space="preserve"> &lt; 40 mm</t>
    </r>
  </si>
  <si>
    <r>
      <t>Y</t>
    </r>
    <r>
      <rPr>
        <vertAlign val="subscript"/>
        <sz val="12"/>
        <rFont val="Arial"/>
        <family val="2"/>
      </rPr>
      <t>RelT</t>
    </r>
    <r>
      <rPr>
        <sz val="12"/>
        <rFont val="Arial"/>
        <family val="2"/>
      </rPr>
      <t>=</t>
    </r>
  </si>
  <si>
    <r>
      <t>Y</t>
    </r>
    <r>
      <rPr>
        <vertAlign val="subscript"/>
        <sz val="12"/>
        <rFont val="Arial"/>
        <family val="2"/>
      </rPr>
      <t>x</t>
    </r>
  </si>
  <si>
    <r>
      <t>m</t>
    </r>
    <r>
      <rPr>
        <vertAlign val="subscript"/>
        <sz val="12"/>
        <rFont val="Arial"/>
        <family val="2"/>
      </rPr>
      <t>n</t>
    </r>
    <r>
      <rPr>
        <sz val="12"/>
        <rFont val="Arial"/>
        <family val="2"/>
      </rPr>
      <t xml:space="preserve"> =</t>
    </r>
  </si>
  <si>
    <r>
      <t>m</t>
    </r>
    <r>
      <rPr>
        <vertAlign val="subscript"/>
        <sz val="12"/>
        <rFont val="Arial"/>
        <family val="2"/>
      </rPr>
      <t>n</t>
    </r>
    <r>
      <rPr>
        <sz val="12"/>
        <rFont val="Arial"/>
        <family val="2"/>
      </rPr>
      <t xml:space="preserve"> &lt; 5</t>
    </r>
  </si>
  <si>
    <r>
      <t>5 &lt; m</t>
    </r>
    <r>
      <rPr>
        <vertAlign val="subscript"/>
        <sz val="12"/>
        <rFont val="Arial"/>
        <family val="2"/>
      </rPr>
      <t>n</t>
    </r>
    <r>
      <rPr>
        <sz val="12"/>
        <rFont val="Arial"/>
        <family val="2"/>
      </rPr>
      <t xml:space="preserve"> &lt; 25</t>
    </r>
  </si>
  <si>
    <r>
      <t>m</t>
    </r>
    <r>
      <rPr>
        <vertAlign val="subscript"/>
        <sz val="12"/>
        <rFont val="Arial"/>
        <family val="2"/>
      </rPr>
      <t>n</t>
    </r>
    <r>
      <rPr>
        <sz val="12"/>
        <rFont val="Arial"/>
        <family val="2"/>
      </rPr>
      <t xml:space="preserve"> &gt; 25</t>
    </r>
  </si>
  <si>
    <r>
      <t>Y</t>
    </r>
    <r>
      <rPr>
        <vertAlign val="subscript"/>
        <sz val="12"/>
        <rFont val="Arial"/>
        <family val="2"/>
      </rPr>
      <t>x</t>
    </r>
    <r>
      <rPr>
        <sz val="12"/>
        <rFont val="Arial"/>
        <family val="2"/>
      </rPr>
      <t xml:space="preserve"> = 1</t>
    </r>
  </si>
  <si>
    <r>
      <t>Y</t>
    </r>
    <r>
      <rPr>
        <vertAlign val="subscript"/>
        <sz val="12"/>
        <rFont val="Arial"/>
        <family val="2"/>
      </rPr>
      <t>x</t>
    </r>
    <r>
      <rPr>
        <sz val="12"/>
        <rFont val="Arial"/>
        <family val="2"/>
      </rPr>
      <t xml:space="preserve"> =1,075 - 0,015*m</t>
    </r>
    <r>
      <rPr>
        <vertAlign val="subscript"/>
        <sz val="12"/>
        <rFont val="Arial"/>
        <family val="2"/>
      </rPr>
      <t>n</t>
    </r>
  </si>
  <si>
    <r>
      <t>Y</t>
    </r>
    <r>
      <rPr>
        <vertAlign val="subscript"/>
        <sz val="12"/>
        <rFont val="Arial"/>
        <family val="2"/>
      </rPr>
      <t>x</t>
    </r>
    <r>
      <rPr>
        <sz val="12"/>
        <rFont val="Arial"/>
        <family val="2"/>
      </rPr>
      <t xml:space="preserve"> = 0,70</t>
    </r>
  </si>
  <si>
    <r>
      <t>Y</t>
    </r>
    <r>
      <rPr>
        <vertAlign val="subscript"/>
        <sz val="12"/>
        <rFont val="Arial"/>
        <family val="2"/>
      </rPr>
      <t>x</t>
    </r>
    <r>
      <rPr>
        <sz val="12"/>
        <rFont val="Arial"/>
        <family val="2"/>
      </rPr>
      <t xml:space="preserve"> =1,03 - 0,006*m</t>
    </r>
    <r>
      <rPr>
        <vertAlign val="subscript"/>
        <sz val="12"/>
        <rFont val="Arial"/>
        <family val="2"/>
      </rPr>
      <t>n</t>
    </r>
  </si>
  <si>
    <r>
      <t>Y</t>
    </r>
    <r>
      <rPr>
        <vertAlign val="subscript"/>
        <sz val="12"/>
        <rFont val="Arial"/>
        <family val="2"/>
      </rPr>
      <t>x</t>
    </r>
    <r>
      <rPr>
        <sz val="12"/>
        <rFont val="Arial"/>
        <family val="2"/>
      </rPr>
      <t xml:space="preserve"> = 0,85</t>
    </r>
  </si>
  <si>
    <r>
      <t>Y</t>
    </r>
    <r>
      <rPr>
        <vertAlign val="subscript"/>
        <sz val="12"/>
        <rFont val="Arial"/>
        <family val="2"/>
      </rPr>
      <t>x</t>
    </r>
    <r>
      <rPr>
        <sz val="12"/>
        <rFont val="Arial"/>
        <family val="2"/>
      </rPr>
      <t xml:space="preserve"> =1,05 - 0,01*m</t>
    </r>
    <r>
      <rPr>
        <vertAlign val="subscript"/>
        <sz val="12"/>
        <rFont val="Arial"/>
        <family val="2"/>
      </rPr>
      <t>n</t>
    </r>
  </si>
  <si>
    <r>
      <t>Y</t>
    </r>
    <r>
      <rPr>
        <vertAlign val="subscript"/>
        <sz val="12"/>
        <rFont val="Arial"/>
        <family val="2"/>
      </rPr>
      <t>x</t>
    </r>
    <r>
      <rPr>
        <sz val="12"/>
        <rFont val="Arial"/>
        <family val="2"/>
      </rPr>
      <t xml:space="preserve"> = 0,80</t>
    </r>
  </si>
  <si>
    <r>
      <t>Z</t>
    </r>
    <r>
      <rPr>
        <vertAlign val="subscript"/>
        <sz val="12"/>
        <rFont val="Arial"/>
        <family val="2"/>
      </rPr>
      <t>e</t>
    </r>
  </si>
  <si>
    <r>
      <t>Z</t>
    </r>
    <r>
      <rPr>
        <vertAlign val="subscript"/>
        <sz val="12"/>
        <rFont val="Arial"/>
        <family val="2"/>
      </rPr>
      <t>e</t>
    </r>
    <r>
      <rPr>
        <sz val="12"/>
        <rFont val="Arial"/>
        <family val="2"/>
      </rPr>
      <t xml:space="preserve"> =</t>
    </r>
  </si>
  <si>
    <r>
      <t>e</t>
    </r>
    <r>
      <rPr>
        <vertAlign val="subscript"/>
        <sz val="12"/>
        <rFont val="Arial"/>
        <family val="2"/>
      </rPr>
      <t>b</t>
    </r>
    <r>
      <rPr>
        <sz val="12"/>
        <rFont val="Arial"/>
        <family val="2"/>
      </rPr>
      <t xml:space="preserve"> &gt;1</t>
    </r>
  </si>
  <si>
    <r>
      <t>e</t>
    </r>
    <r>
      <rPr>
        <vertAlign val="subscript"/>
        <sz val="12"/>
        <rFont val="Arial"/>
        <family val="2"/>
      </rPr>
      <t xml:space="preserve">b </t>
    </r>
    <r>
      <rPr>
        <sz val="12"/>
        <rFont val="Arial"/>
        <family val="2"/>
      </rPr>
      <t>=</t>
    </r>
  </si>
  <si>
    <r>
      <t>e</t>
    </r>
    <r>
      <rPr>
        <vertAlign val="subscript"/>
        <sz val="12"/>
        <rFont val="Arial"/>
        <family val="2"/>
      </rPr>
      <t xml:space="preserve">a </t>
    </r>
    <r>
      <rPr>
        <sz val="12"/>
        <rFont val="Arial"/>
        <family val="2"/>
      </rPr>
      <t>=</t>
    </r>
  </si>
  <si>
    <r>
      <t>Z</t>
    </r>
    <r>
      <rPr>
        <vertAlign val="subscript"/>
        <sz val="12"/>
        <rFont val="Arial"/>
        <family val="2"/>
      </rPr>
      <t>b</t>
    </r>
  </si>
  <si>
    <r>
      <t>Z</t>
    </r>
    <r>
      <rPr>
        <vertAlign val="subscript"/>
        <sz val="12"/>
        <rFont val="Arial"/>
        <family val="2"/>
      </rPr>
      <t>H</t>
    </r>
  </si>
  <si>
    <r>
      <t>Z</t>
    </r>
    <r>
      <rPr>
        <vertAlign val="subscript"/>
        <sz val="12"/>
        <rFont val="Arial"/>
        <family val="2"/>
      </rPr>
      <t>E</t>
    </r>
  </si>
  <si>
    <r>
      <t>n</t>
    </r>
    <r>
      <rPr>
        <vertAlign val="subscript"/>
        <sz val="12"/>
        <rFont val="Arial"/>
        <family val="2"/>
      </rPr>
      <t>1</t>
    </r>
    <r>
      <rPr>
        <sz val="12"/>
        <rFont val="Arial"/>
        <family val="2"/>
      </rPr>
      <t xml:space="preserve"> =</t>
    </r>
  </si>
  <si>
    <r>
      <t>E</t>
    </r>
    <r>
      <rPr>
        <vertAlign val="subscript"/>
        <sz val="12"/>
        <rFont val="Arial"/>
        <family val="2"/>
      </rPr>
      <t>1</t>
    </r>
    <r>
      <rPr>
        <sz val="12"/>
        <rFont val="Arial"/>
        <family val="2"/>
      </rPr>
      <t xml:space="preserve"> =</t>
    </r>
  </si>
  <si>
    <r>
      <t>n</t>
    </r>
    <r>
      <rPr>
        <vertAlign val="subscript"/>
        <sz val="12"/>
        <rFont val="Arial"/>
        <family val="2"/>
      </rPr>
      <t>2</t>
    </r>
    <r>
      <rPr>
        <sz val="12"/>
        <rFont val="Arial"/>
        <family val="2"/>
      </rPr>
      <t xml:space="preserve"> =</t>
    </r>
  </si>
  <si>
    <r>
      <t>E</t>
    </r>
    <r>
      <rPr>
        <vertAlign val="subscript"/>
        <sz val="12"/>
        <rFont val="Arial"/>
        <family val="2"/>
      </rPr>
      <t>2</t>
    </r>
    <r>
      <rPr>
        <sz val="12"/>
        <rFont val="Arial"/>
        <family val="2"/>
      </rPr>
      <t xml:space="preserve"> =</t>
    </r>
  </si>
  <si>
    <r>
      <t>s</t>
    </r>
    <r>
      <rPr>
        <vertAlign val="subscript"/>
        <sz val="12"/>
        <color indexed="10"/>
        <rFont val="Arial"/>
        <family val="2"/>
      </rPr>
      <t>Hlim1</t>
    </r>
    <r>
      <rPr>
        <sz val="12"/>
        <color indexed="10"/>
        <rFont val="Arial"/>
        <family val="2"/>
      </rPr>
      <t xml:space="preserve"> =</t>
    </r>
  </si>
  <si>
    <r>
      <t>Z</t>
    </r>
    <r>
      <rPr>
        <vertAlign val="subscript"/>
        <sz val="12"/>
        <color indexed="10"/>
        <rFont val="Arial"/>
        <family val="2"/>
      </rPr>
      <t>NT</t>
    </r>
    <r>
      <rPr>
        <sz val="12"/>
        <color indexed="10"/>
        <rFont val="Arial"/>
        <family val="2"/>
      </rPr>
      <t xml:space="preserve"> =</t>
    </r>
  </si>
  <si>
    <r>
      <t>s</t>
    </r>
    <r>
      <rPr>
        <vertAlign val="subscript"/>
        <sz val="12"/>
        <color indexed="10"/>
        <rFont val="Arial"/>
        <family val="2"/>
      </rPr>
      <t>Hlim2</t>
    </r>
    <r>
      <rPr>
        <sz val="12"/>
        <color indexed="10"/>
        <rFont val="Arial"/>
        <family val="2"/>
      </rPr>
      <t xml:space="preserve"> =</t>
    </r>
  </si>
  <si>
    <r>
      <t>Z</t>
    </r>
    <r>
      <rPr>
        <vertAlign val="subscript"/>
        <sz val="12"/>
        <color indexed="10"/>
        <rFont val="Arial"/>
        <family val="2"/>
      </rPr>
      <t>L</t>
    </r>
    <r>
      <rPr>
        <sz val="12"/>
        <color indexed="10"/>
        <rFont val="Arial"/>
        <family val="2"/>
      </rPr>
      <t xml:space="preserve"> =</t>
    </r>
  </si>
  <si>
    <r>
      <t>Z</t>
    </r>
    <r>
      <rPr>
        <vertAlign val="subscript"/>
        <sz val="12"/>
        <color indexed="10"/>
        <rFont val="Arial"/>
        <family val="2"/>
      </rPr>
      <t>V</t>
    </r>
    <r>
      <rPr>
        <sz val="12"/>
        <color indexed="10"/>
        <rFont val="Arial"/>
        <family val="2"/>
      </rPr>
      <t xml:space="preserve"> =</t>
    </r>
  </si>
  <si>
    <r>
      <t>Z</t>
    </r>
    <r>
      <rPr>
        <vertAlign val="subscript"/>
        <sz val="12"/>
        <color indexed="10"/>
        <rFont val="Arial"/>
        <family val="2"/>
      </rPr>
      <t>R</t>
    </r>
    <r>
      <rPr>
        <sz val="12"/>
        <color indexed="10"/>
        <rFont val="Arial"/>
        <family val="2"/>
      </rPr>
      <t xml:space="preserve"> =</t>
    </r>
  </si>
  <si>
    <r>
      <t>Z</t>
    </r>
    <r>
      <rPr>
        <vertAlign val="subscript"/>
        <sz val="12"/>
        <color indexed="10"/>
        <rFont val="Arial"/>
        <family val="2"/>
      </rPr>
      <t>W</t>
    </r>
    <r>
      <rPr>
        <sz val="12"/>
        <color indexed="10"/>
        <rFont val="Arial"/>
        <family val="2"/>
      </rPr>
      <t xml:space="preserve"> =</t>
    </r>
  </si>
  <si>
    <r>
      <t>Z</t>
    </r>
    <r>
      <rPr>
        <vertAlign val="subscript"/>
        <sz val="12"/>
        <color indexed="10"/>
        <rFont val="Arial"/>
        <family val="2"/>
      </rPr>
      <t xml:space="preserve">x </t>
    </r>
    <r>
      <rPr>
        <sz val="12"/>
        <color indexed="10"/>
        <rFont val="Arial"/>
        <family val="2"/>
      </rPr>
      <t>=</t>
    </r>
  </si>
  <si>
    <r>
      <t>Z</t>
    </r>
    <r>
      <rPr>
        <vertAlign val="subscript"/>
        <sz val="12"/>
        <rFont val="Arial"/>
        <family val="2"/>
      </rPr>
      <t>NT</t>
    </r>
  </si>
  <si>
    <r>
      <t>Dayanma süresi faktörü ” Z</t>
    </r>
    <r>
      <rPr>
        <vertAlign val="subscript"/>
        <sz val="12"/>
        <rFont val="Arial"/>
        <family val="2"/>
      </rPr>
      <t>NT</t>
    </r>
    <r>
      <rPr>
        <sz val="12"/>
        <rFont val="Arial"/>
        <family val="2"/>
      </rPr>
      <t xml:space="preserve"> ”</t>
    </r>
  </si>
  <si>
    <r>
      <t>Z</t>
    </r>
    <r>
      <rPr>
        <vertAlign val="subscript"/>
        <sz val="12"/>
        <rFont val="Arial"/>
        <family val="2"/>
      </rPr>
      <t>NT</t>
    </r>
    <r>
      <rPr>
        <sz val="12"/>
        <rFont val="Arial"/>
        <family val="2"/>
      </rPr>
      <t xml:space="preserve"> = 1,6</t>
    </r>
  </si>
  <si>
    <r>
      <t>10</t>
    </r>
    <r>
      <rPr>
        <vertAlign val="superscript"/>
        <sz val="12"/>
        <rFont val="Arial"/>
        <family val="2"/>
      </rPr>
      <t>5</t>
    </r>
    <r>
      <rPr>
        <sz val="12"/>
        <rFont val="Arial"/>
        <family val="2"/>
      </rPr>
      <t xml:space="preserve"> &lt; N</t>
    </r>
    <r>
      <rPr>
        <vertAlign val="subscript"/>
        <sz val="12"/>
        <rFont val="Arial"/>
        <family val="2"/>
      </rPr>
      <t>L</t>
    </r>
    <r>
      <rPr>
        <sz val="12"/>
        <rFont val="Arial"/>
        <family val="2"/>
      </rPr>
      <t xml:space="preserve"> &lt; 5.10</t>
    </r>
    <r>
      <rPr>
        <vertAlign val="superscript"/>
        <sz val="12"/>
        <rFont val="Arial"/>
        <family val="2"/>
      </rPr>
      <t>7</t>
    </r>
  </si>
  <si>
    <r>
      <t>Z</t>
    </r>
    <r>
      <rPr>
        <vertAlign val="subscript"/>
        <sz val="12"/>
        <rFont val="Arial"/>
        <family val="2"/>
      </rPr>
      <t>NT</t>
    </r>
    <r>
      <rPr>
        <sz val="12"/>
        <rFont val="Arial"/>
        <family val="2"/>
      </rPr>
      <t xml:space="preserve"> = (5.10</t>
    </r>
    <r>
      <rPr>
        <vertAlign val="superscript"/>
        <sz val="12"/>
        <rFont val="Arial"/>
        <family val="2"/>
      </rPr>
      <t>7</t>
    </r>
    <r>
      <rPr>
        <sz val="12"/>
        <rFont val="Arial"/>
        <family val="2"/>
      </rPr>
      <t xml:space="preserve"> / N</t>
    </r>
    <r>
      <rPr>
        <vertAlign val="subscript"/>
        <sz val="12"/>
        <rFont val="Arial"/>
        <family val="2"/>
      </rPr>
      <t>L</t>
    </r>
    <r>
      <rPr>
        <sz val="12"/>
        <rFont val="Arial"/>
        <family val="2"/>
      </rPr>
      <t xml:space="preserve"> )</t>
    </r>
    <r>
      <rPr>
        <vertAlign val="superscript"/>
        <sz val="12"/>
        <rFont val="Arial"/>
        <family val="2"/>
      </rPr>
      <t>0,0756</t>
    </r>
  </si>
  <si>
    <r>
      <t>Z</t>
    </r>
    <r>
      <rPr>
        <vertAlign val="subscript"/>
        <sz val="12"/>
        <rFont val="Arial"/>
        <family val="2"/>
      </rPr>
      <t>NT</t>
    </r>
    <r>
      <rPr>
        <sz val="12"/>
        <rFont val="Arial"/>
        <family val="2"/>
      </rPr>
      <t xml:space="preserve"> = 1,0</t>
    </r>
  </si>
  <si>
    <r>
      <t>Z</t>
    </r>
    <r>
      <rPr>
        <vertAlign val="subscript"/>
        <sz val="12"/>
        <rFont val="Arial"/>
        <family val="2"/>
      </rPr>
      <t>L</t>
    </r>
  </si>
  <si>
    <t>n =</t>
  </si>
  <si>
    <r>
      <t>Z</t>
    </r>
    <r>
      <rPr>
        <vertAlign val="subscript"/>
        <sz val="12"/>
        <rFont val="Arial"/>
        <family val="2"/>
      </rPr>
      <t>L501</t>
    </r>
    <r>
      <rPr>
        <sz val="12"/>
        <rFont val="Arial"/>
        <family val="2"/>
      </rPr>
      <t xml:space="preserve"> =</t>
    </r>
  </si>
  <si>
    <r>
      <t>Z</t>
    </r>
    <r>
      <rPr>
        <vertAlign val="subscript"/>
        <sz val="12"/>
        <rFont val="Arial"/>
        <family val="2"/>
      </rPr>
      <t>L502</t>
    </r>
    <r>
      <rPr>
        <sz val="12"/>
        <rFont val="Arial"/>
        <family val="2"/>
      </rPr>
      <t xml:space="preserve"> =</t>
    </r>
  </si>
  <si>
    <r>
      <t>Z</t>
    </r>
    <r>
      <rPr>
        <vertAlign val="subscript"/>
        <sz val="12"/>
        <rFont val="Arial"/>
        <family val="2"/>
      </rPr>
      <t>L401</t>
    </r>
    <r>
      <rPr>
        <sz val="12"/>
        <rFont val="Arial"/>
        <family val="2"/>
      </rPr>
      <t xml:space="preserve"> =</t>
    </r>
  </si>
  <si>
    <r>
      <t>Z</t>
    </r>
    <r>
      <rPr>
        <vertAlign val="subscript"/>
        <sz val="12"/>
        <rFont val="Arial"/>
        <family val="2"/>
      </rPr>
      <t>L402</t>
    </r>
    <r>
      <rPr>
        <sz val="12"/>
        <rFont val="Arial"/>
        <family val="2"/>
      </rPr>
      <t xml:space="preserve"> =</t>
    </r>
  </si>
  <si>
    <r>
      <t>C</t>
    </r>
    <r>
      <rPr>
        <vertAlign val="subscript"/>
        <sz val="12"/>
        <rFont val="Arial"/>
        <family val="2"/>
      </rPr>
      <t>ZL1</t>
    </r>
    <r>
      <rPr>
        <sz val="12"/>
        <rFont val="Arial"/>
        <family val="2"/>
      </rPr>
      <t xml:space="preserve"> =</t>
    </r>
  </si>
  <si>
    <r>
      <t>C</t>
    </r>
    <r>
      <rPr>
        <vertAlign val="subscript"/>
        <sz val="12"/>
        <rFont val="Arial"/>
        <family val="2"/>
      </rPr>
      <t>ZL2</t>
    </r>
    <r>
      <rPr>
        <sz val="12"/>
        <rFont val="Arial"/>
        <family val="2"/>
      </rPr>
      <t xml:space="preserve"> =</t>
    </r>
  </si>
  <si>
    <r>
      <t>Z</t>
    </r>
    <r>
      <rPr>
        <vertAlign val="subscript"/>
        <sz val="12"/>
        <rFont val="Arial"/>
        <family val="2"/>
      </rPr>
      <t>V</t>
    </r>
  </si>
  <si>
    <r>
      <t>Z</t>
    </r>
    <r>
      <rPr>
        <vertAlign val="subscript"/>
        <sz val="12"/>
        <rFont val="Arial"/>
        <family val="2"/>
      </rPr>
      <t>V1</t>
    </r>
    <r>
      <rPr>
        <sz val="12"/>
        <rFont val="Arial"/>
        <family val="2"/>
      </rPr>
      <t xml:space="preserve"> =</t>
    </r>
  </si>
  <si>
    <r>
      <t>Z</t>
    </r>
    <r>
      <rPr>
        <vertAlign val="subscript"/>
        <sz val="12"/>
        <rFont val="Arial"/>
        <family val="2"/>
      </rPr>
      <t>V2</t>
    </r>
    <r>
      <rPr>
        <sz val="12"/>
        <rFont val="Arial"/>
        <family val="2"/>
      </rPr>
      <t xml:space="preserve"> =</t>
    </r>
  </si>
  <si>
    <r>
      <t>C</t>
    </r>
    <r>
      <rPr>
        <vertAlign val="subscript"/>
        <sz val="12"/>
        <rFont val="Arial"/>
        <family val="2"/>
      </rPr>
      <t>Zv1</t>
    </r>
    <r>
      <rPr>
        <sz val="12"/>
        <rFont val="Arial"/>
        <family val="2"/>
      </rPr>
      <t xml:space="preserve"> =</t>
    </r>
  </si>
  <si>
    <r>
      <t>C</t>
    </r>
    <r>
      <rPr>
        <vertAlign val="subscript"/>
        <sz val="12"/>
        <rFont val="Arial"/>
        <family val="2"/>
      </rPr>
      <t>Zv2</t>
    </r>
    <r>
      <rPr>
        <sz val="12"/>
        <rFont val="Arial"/>
        <family val="2"/>
      </rPr>
      <t xml:space="preserve"> =</t>
    </r>
  </si>
  <si>
    <r>
      <t>Z</t>
    </r>
    <r>
      <rPr>
        <vertAlign val="subscript"/>
        <sz val="12"/>
        <rFont val="Arial"/>
        <family val="2"/>
      </rPr>
      <t>R</t>
    </r>
  </si>
  <si>
    <r>
      <t>R</t>
    </r>
    <r>
      <rPr>
        <vertAlign val="subscript"/>
        <sz val="12"/>
        <rFont val="Arial"/>
        <family val="2"/>
      </rPr>
      <t>z1</t>
    </r>
    <r>
      <rPr>
        <sz val="12"/>
        <rFont val="Arial"/>
        <family val="2"/>
      </rPr>
      <t xml:space="preserve"> =</t>
    </r>
  </si>
  <si>
    <r>
      <t>R</t>
    </r>
    <r>
      <rPr>
        <vertAlign val="subscript"/>
        <sz val="12"/>
        <rFont val="Arial"/>
        <family val="2"/>
      </rPr>
      <t>z100</t>
    </r>
    <r>
      <rPr>
        <sz val="12"/>
        <rFont val="Arial"/>
        <family val="2"/>
      </rPr>
      <t xml:space="preserve"> =</t>
    </r>
  </si>
  <si>
    <r>
      <t>R</t>
    </r>
    <r>
      <rPr>
        <vertAlign val="subscript"/>
        <sz val="12"/>
        <rFont val="Arial"/>
        <family val="2"/>
      </rPr>
      <t>z2</t>
    </r>
    <r>
      <rPr>
        <sz val="12"/>
        <rFont val="Arial"/>
        <family val="2"/>
      </rPr>
      <t xml:space="preserve"> =</t>
    </r>
  </si>
  <si>
    <r>
      <t>C</t>
    </r>
    <r>
      <rPr>
        <vertAlign val="subscript"/>
        <sz val="12"/>
        <rFont val="Arial"/>
        <family val="2"/>
      </rPr>
      <t>zR1</t>
    </r>
    <r>
      <rPr>
        <sz val="12"/>
        <rFont val="Arial"/>
        <family val="2"/>
      </rPr>
      <t xml:space="preserve"> =</t>
    </r>
  </si>
  <si>
    <r>
      <t>C</t>
    </r>
    <r>
      <rPr>
        <vertAlign val="subscript"/>
        <sz val="12"/>
        <rFont val="Arial"/>
        <family val="2"/>
      </rPr>
      <t>zR2</t>
    </r>
    <r>
      <rPr>
        <sz val="12"/>
        <rFont val="Arial"/>
        <family val="2"/>
      </rPr>
      <t xml:space="preserve"> =</t>
    </r>
  </si>
  <si>
    <r>
      <t>Z</t>
    </r>
    <r>
      <rPr>
        <vertAlign val="subscript"/>
        <sz val="12"/>
        <rFont val="Arial"/>
        <family val="2"/>
      </rPr>
      <t>W</t>
    </r>
  </si>
  <si>
    <r>
      <t>HB</t>
    </r>
    <r>
      <rPr>
        <vertAlign val="subscript"/>
        <sz val="12"/>
        <rFont val="Arial"/>
        <family val="2"/>
      </rPr>
      <t>1</t>
    </r>
    <r>
      <rPr>
        <sz val="12"/>
        <rFont val="Arial"/>
        <family val="2"/>
      </rPr>
      <t xml:space="preserve"> =</t>
    </r>
  </si>
  <si>
    <r>
      <t>Z</t>
    </r>
    <r>
      <rPr>
        <vertAlign val="subscript"/>
        <sz val="12"/>
        <rFont val="Arial"/>
        <family val="2"/>
      </rPr>
      <t>W1</t>
    </r>
    <r>
      <rPr>
        <sz val="12"/>
        <rFont val="Arial"/>
        <family val="2"/>
      </rPr>
      <t xml:space="preserve"> =</t>
    </r>
  </si>
  <si>
    <r>
      <t>HB</t>
    </r>
    <r>
      <rPr>
        <vertAlign val="subscript"/>
        <sz val="12"/>
        <rFont val="Arial"/>
        <family val="2"/>
      </rPr>
      <t>2</t>
    </r>
    <r>
      <rPr>
        <sz val="12"/>
        <rFont val="Arial"/>
        <family val="2"/>
      </rPr>
      <t xml:space="preserve"> =</t>
    </r>
  </si>
  <si>
    <r>
      <t>Z</t>
    </r>
    <r>
      <rPr>
        <vertAlign val="subscript"/>
        <sz val="12"/>
        <rFont val="Arial"/>
        <family val="2"/>
      </rPr>
      <t>W2</t>
    </r>
    <r>
      <rPr>
        <sz val="12"/>
        <rFont val="Arial"/>
        <family val="2"/>
      </rPr>
      <t xml:space="preserve"> =</t>
    </r>
  </si>
  <si>
    <r>
      <t>Z</t>
    </r>
    <r>
      <rPr>
        <vertAlign val="subscript"/>
        <sz val="12"/>
        <rFont val="Arial"/>
        <family val="2"/>
      </rPr>
      <t>x</t>
    </r>
  </si>
  <si>
    <r>
      <t>m</t>
    </r>
    <r>
      <rPr>
        <vertAlign val="subscript"/>
        <sz val="12"/>
        <rFont val="Arial"/>
        <family val="2"/>
      </rPr>
      <t>n</t>
    </r>
    <r>
      <rPr>
        <sz val="12"/>
        <rFont val="Arial"/>
        <family val="2"/>
      </rPr>
      <t xml:space="preserve"> &lt; 7</t>
    </r>
  </si>
  <si>
    <r>
      <t>7 &lt; m</t>
    </r>
    <r>
      <rPr>
        <vertAlign val="subscript"/>
        <sz val="12"/>
        <rFont val="Arial"/>
        <family val="2"/>
      </rPr>
      <t>n</t>
    </r>
    <r>
      <rPr>
        <sz val="12"/>
        <rFont val="Arial"/>
        <family val="2"/>
      </rPr>
      <t xml:space="preserve"> &lt; 30</t>
    </r>
  </si>
  <si>
    <r>
      <t>m</t>
    </r>
    <r>
      <rPr>
        <vertAlign val="subscript"/>
        <sz val="12"/>
        <rFont val="Arial"/>
        <family val="2"/>
      </rPr>
      <t>n</t>
    </r>
    <r>
      <rPr>
        <sz val="12"/>
        <rFont val="Arial"/>
        <family val="2"/>
      </rPr>
      <t xml:space="preserve"> &gt; 30</t>
    </r>
  </si>
  <si>
    <r>
      <t>Z</t>
    </r>
    <r>
      <rPr>
        <vertAlign val="subscript"/>
        <sz val="12"/>
        <rFont val="Arial"/>
        <family val="2"/>
      </rPr>
      <t>x</t>
    </r>
    <r>
      <rPr>
        <sz val="12"/>
        <rFont val="Arial"/>
        <family val="2"/>
      </rPr>
      <t xml:space="preserve"> = 1</t>
    </r>
  </si>
  <si>
    <r>
      <t>Y</t>
    </r>
    <r>
      <rPr>
        <vertAlign val="subscript"/>
        <sz val="12"/>
        <rFont val="Arial"/>
        <family val="2"/>
      </rPr>
      <t>x</t>
    </r>
    <r>
      <rPr>
        <sz val="12"/>
        <rFont val="Arial"/>
        <family val="2"/>
      </rPr>
      <t xml:space="preserve"> = 0,90</t>
    </r>
  </si>
  <si>
    <r>
      <t>Y</t>
    </r>
    <r>
      <rPr>
        <vertAlign val="subscript"/>
        <sz val="12"/>
        <rFont val="Arial"/>
        <family val="2"/>
      </rPr>
      <t>x</t>
    </r>
    <r>
      <rPr>
        <sz val="12"/>
        <rFont val="Arial"/>
        <family val="2"/>
      </rPr>
      <t xml:space="preserve"> = 0,75</t>
    </r>
  </si>
  <si>
    <r>
      <t>Y</t>
    </r>
    <r>
      <rPr>
        <vertAlign val="subscript"/>
        <sz val="12"/>
        <color indexed="10"/>
        <rFont val="Arial"/>
        <family val="2"/>
      </rPr>
      <t>Fa1</t>
    </r>
    <r>
      <rPr>
        <sz val="12"/>
        <color indexed="10"/>
        <rFont val="Arial"/>
        <family val="2"/>
      </rPr>
      <t xml:space="preserve"> =</t>
    </r>
  </si>
  <si>
    <r>
      <t>Y</t>
    </r>
    <r>
      <rPr>
        <vertAlign val="subscript"/>
        <sz val="12"/>
        <color indexed="10"/>
        <rFont val="Arial"/>
        <family val="2"/>
      </rPr>
      <t>Fa2</t>
    </r>
    <r>
      <rPr>
        <sz val="12"/>
        <color indexed="10"/>
        <rFont val="Arial"/>
        <family val="2"/>
      </rPr>
      <t xml:space="preserve"> =</t>
    </r>
  </si>
  <si>
    <r>
      <t>h</t>
    </r>
    <r>
      <rPr>
        <vertAlign val="subscript"/>
        <sz val="12"/>
        <color indexed="10"/>
        <rFont val="Arial"/>
        <family val="2"/>
      </rPr>
      <t>Fa1</t>
    </r>
    <r>
      <rPr>
        <sz val="12"/>
        <color indexed="10"/>
        <rFont val="Arial"/>
        <family val="2"/>
      </rPr>
      <t>/m</t>
    </r>
    <r>
      <rPr>
        <vertAlign val="subscript"/>
        <sz val="12"/>
        <color indexed="10"/>
        <rFont val="Arial"/>
        <family val="2"/>
      </rPr>
      <t>n</t>
    </r>
    <r>
      <rPr>
        <sz val="12"/>
        <color indexed="10"/>
        <rFont val="Arial"/>
        <family val="2"/>
      </rPr>
      <t xml:space="preserve"> =</t>
    </r>
  </si>
  <si>
    <r>
      <t>h</t>
    </r>
    <r>
      <rPr>
        <vertAlign val="subscript"/>
        <sz val="12"/>
        <color indexed="10"/>
        <rFont val="Arial"/>
        <family val="2"/>
      </rPr>
      <t>Fa2</t>
    </r>
    <r>
      <rPr>
        <sz val="12"/>
        <color indexed="10"/>
        <rFont val="Arial"/>
        <family val="2"/>
      </rPr>
      <t>/m</t>
    </r>
    <r>
      <rPr>
        <vertAlign val="subscript"/>
        <sz val="12"/>
        <color indexed="10"/>
        <rFont val="Arial"/>
        <family val="2"/>
      </rPr>
      <t>n</t>
    </r>
    <r>
      <rPr>
        <sz val="12"/>
        <color indexed="10"/>
        <rFont val="Arial"/>
        <family val="2"/>
      </rPr>
      <t xml:space="preserve"> =</t>
    </r>
  </si>
  <si>
    <r>
      <t>cosa</t>
    </r>
    <r>
      <rPr>
        <vertAlign val="subscript"/>
        <sz val="12"/>
        <color indexed="10"/>
        <rFont val="Arial"/>
        <family val="2"/>
      </rPr>
      <t>Fan1</t>
    </r>
    <r>
      <rPr>
        <sz val="12"/>
        <color indexed="10"/>
        <rFont val="Arial"/>
        <family val="2"/>
      </rPr>
      <t xml:space="preserve"> =</t>
    </r>
  </si>
  <si>
    <r>
      <t>cosa</t>
    </r>
    <r>
      <rPr>
        <vertAlign val="subscript"/>
        <sz val="12"/>
        <color indexed="10"/>
        <rFont val="Arial"/>
        <family val="2"/>
      </rPr>
      <t>Fan2</t>
    </r>
    <r>
      <rPr>
        <sz val="12"/>
        <color indexed="10"/>
        <rFont val="Arial"/>
        <family val="2"/>
      </rPr>
      <t xml:space="preserve"> =</t>
    </r>
  </si>
  <si>
    <r>
      <t>S</t>
    </r>
    <r>
      <rPr>
        <vertAlign val="subscript"/>
        <sz val="12"/>
        <color indexed="10"/>
        <rFont val="Arial"/>
        <family val="2"/>
      </rPr>
      <t>Fa1</t>
    </r>
    <r>
      <rPr>
        <sz val="12"/>
        <color indexed="10"/>
        <rFont val="Arial"/>
        <family val="2"/>
      </rPr>
      <t>/m</t>
    </r>
    <r>
      <rPr>
        <vertAlign val="subscript"/>
        <sz val="12"/>
        <color indexed="10"/>
        <rFont val="Arial"/>
        <family val="2"/>
      </rPr>
      <t>n</t>
    </r>
    <r>
      <rPr>
        <sz val="12"/>
        <color indexed="10"/>
        <rFont val="Arial"/>
        <family val="2"/>
      </rPr>
      <t xml:space="preserve"> =</t>
    </r>
  </si>
  <si>
    <r>
      <t>S</t>
    </r>
    <r>
      <rPr>
        <vertAlign val="subscript"/>
        <sz val="12"/>
        <color indexed="10"/>
        <rFont val="Arial"/>
        <family val="2"/>
      </rPr>
      <t>Fa2</t>
    </r>
    <r>
      <rPr>
        <sz val="12"/>
        <color indexed="10"/>
        <rFont val="Arial"/>
        <family val="2"/>
      </rPr>
      <t>/m</t>
    </r>
    <r>
      <rPr>
        <vertAlign val="subscript"/>
        <sz val="12"/>
        <color indexed="10"/>
        <rFont val="Arial"/>
        <family val="2"/>
      </rPr>
      <t>n</t>
    </r>
    <r>
      <rPr>
        <sz val="12"/>
        <color indexed="10"/>
        <rFont val="Arial"/>
        <family val="2"/>
      </rPr>
      <t xml:space="preserve"> =</t>
    </r>
  </si>
  <si>
    <r>
      <t>cos a</t>
    </r>
    <r>
      <rPr>
        <vertAlign val="subscript"/>
        <sz val="12"/>
        <color indexed="10"/>
        <rFont val="Arial"/>
        <family val="2"/>
      </rPr>
      <t>n</t>
    </r>
    <r>
      <rPr>
        <sz val="12"/>
        <color indexed="10"/>
        <rFont val="Arial"/>
        <family val="2"/>
      </rPr>
      <t xml:space="preserve"> =</t>
    </r>
  </si>
  <si>
    <r>
      <t>G</t>
    </r>
    <r>
      <rPr>
        <vertAlign val="subscript"/>
        <sz val="12"/>
        <color indexed="10"/>
        <rFont val="Arial"/>
        <family val="2"/>
      </rPr>
      <t>1</t>
    </r>
    <r>
      <rPr>
        <sz val="12"/>
        <color indexed="10"/>
        <rFont val="Arial"/>
        <family val="2"/>
      </rPr>
      <t xml:space="preserve"> = </t>
    </r>
  </si>
  <si>
    <r>
      <t>G</t>
    </r>
    <r>
      <rPr>
        <vertAlign val="subscript"/>
        <sz val="12"/>
        <color indexed="10"/>
        <rFont val="Arial"/>
        <family val="2"/>
      </rPr>
      <t>2</t>
    </r>
    <r>
      <rPr>
        <sz val="12"/>
        <color indexed="10"/>
        <rFont val="Arial"/>
        <family val="2"/>
      </rPr>
      <t xml:space="preserve"> = </t>
    </r>
  </si>
  <si>
    <r>
      <t>J</t>
    </r>
    <r>
      <rPr>
        <vertAlign val="subscript"/>
        <sz val="12"/>
        <rFont val="Arial"/>
        <family val="2"/>
      </rPr>
      <t>1</t>
    </r>
    <r>
      <rPr>
        <sz val="12"/>
        <rFont val="Arial"/>
        <family val="2"/>
      </rPr>
      <t xml:space="preserve"> =</t>
    </r>
  </si>
  <si>
    <r>
      <t>J</t>
    </r>
    <r>
      <rPr>
        <vertAlign val="subscript"/>
        <sz val="12"/>
        <rFont val="Arial"/>
        <family val="2"/>
      </rPr>
      <t>2</t>
    </r>
    <r>
      <rPr>
        <sz val="12"/>
        <rFont val="Arial"/>
        <family val="2"/>
      </rPr>
      <t xml:space="preserve"> =</t>
    </r>
  </si>
  <si>
    <r>
      <t>r</t>
    </r>
    <r>
      <rPr>
        <vertAlign val="subscript"/>
        <sz val="12"/>
        <rFont val="Arial"/>
        <family val="2"/>
      </rPr>
      <t>a0</t>
    </r>
    <r>
      <rPr>
        <sz val="12"/>
        <rFont val="Arial"/>
        <family val="2"/>
      </rPr>
      <t xml:space="preserve"> =</t>
    </r>
  </si>
  <si>
    <r>
      <t>z</t>
    </r>
    <r>
      <rPr>
        <vertAlign val="subscript"/>
        <sz val="12"/>
        <color indexed="10"/>
        <rFont val="Arial"/>
        <family val="2"/>
      </rPr>
      <t>n1</t>
    </r>
    <r>
      <rPr>
        <sz val="12"/>
        <color indexed="10"/>
        <rFont val="Arial"/>
        <family val="2"/>
      </rPr>
      <t xml:space="preserve"> =</t>
    </r>
  </si>
  <si>
    <r>
      <t>z</t>
    </r>
    <r>
      <rPr>
        <vertAlign val="subscript"/>
        <sz val="12"/>
        <color indexed="10"/>
        <rFont val="Arial"/>
        <family val="2"/>
      </rPr>
      <t>n2</t>
    </r>
    <r>
      <rPr>
        <sz val="12"/>
        <color indexed="10"/>
        <rFont val="Arial"/>
        <family val="2"/>
      </rPr>
      <t xml:space="preserve"> =</t>
    </r>
  </si>
  <si>
    <r>
      <t>a</t>
    </r>
    <r>
      <rPr>
        <vertAlign val="subscript"/>
        <sz val="12"/>
        <color indexed="10"/>
        <rFont val="Arial"/>
        <family val="2"/>
      </rPr>
      <t>Fan1</t>
    </r>
    <r>
      <rPr>
        <sz val="12"/>
        <color indexed="10"/>
        <rFont val="Arial"/>
        <family val="2"/>
      </rPr>
      <t xml:space="preserve"> =</t>
    </r>
  </si>
  <si>
    <r>
      <t>a</t>
    </r>
    <r>
      <rPr>
        <vertAlign val="subscript"/>
        <sz val="12"/>
        <color indexed="10"/>
        <rFont val="Arial"/>
        <family val="2"/>
      </rPr>
      <t>Fan2</t>
    </r>
    <r>
      <rPr>
        <sz val="12"/>
        <color indexed="10"/>
        <rFont val="Arial"/>
        <family val="2"/>
      </rPr>
      <t xml:space="preserve"> =</t>
    </r>
  </si>
  <si>
    <r>
      <t>a</t>
    </r>
    <r>
      <rPr>
        <vertAlign val="subscript"/>
        <sz val="12"/>
        <rFont val="Arial"/>
        <family val="2"/>
      </rPr>
      <t>an1</t>
    </r>
    <r>
      <rPr>
        <sz val="12"/>
        <rFont val="Arial"/>
        <family val="2"/>
      </rPr>
      <t xml:space="preserve"> =</t>
    </r>
  </si>
  <si>
    <r>
      <t>a</t>
    </r>
    <r>
      <rPr>
        <vertAlign val="subscript"/>
        <sz val="12"/>
        <rFont val="Arial"/>
        <family val="2"/>
      </rPr>
      <t>an2</t>
    </r>
    <r>
      <rPr>
        <sz val="12"/>
        <rFont val="Arial"/>
        <family val="2"/>
      </rPr>
      <t xml:space="preserve"> =</t>
    </r>
  </si>
  <si>
    <r>
      <t>d</t>
    </r>
    <r>
      <rPr>
        <vertAlign val="subscript"/>
        <sz val="12"/>
        <rFont val="Arial"/>
        <family val="2"/>
      </rPr>
      <t>bn1</t>
    </r>
    <r>
      <rPr>
        <sz val="12"/>
        <rFont val="Arial"/>
        <family val="2"/>
      </rPr>
      <t xml:space="preserve"> =</t>
    </r>
  </si>
  <si>
    <r>
      <t>d</t>
    </r>
    <r>
      <rPr>
        <vertAlign val="subscript"/>
        <sz val="12"/>
        <rFont val="Arial"/>
        <family val="2"/>
      </rPr>
      <t>bn2</t>
    </r>
    <r>
      <rPr>
        <sz val="12"/>
        <rFont val="Arial"/>
        <family val="2"/>
      </rPr>
      <t xml:space="preserve"> =</t>
    </r>
  </si>
  <si>
    <r>
      <t>d</t>
    </r>
    <r>
      <rPr>
        <vertAlign val="subscript"/>
        <sz val="12"/>
        <rFont val="Arial"/>
        <family val="2"/>
      </rPr>
      <t>an1</t>
    </r>
    <r>
      <rPr>
        <sz val="12"/>
        <rFont val="Arial"/>
        <family val="2"/>
      </rPr>
      <t xml:space="preserve"> =</t>
    </r>
  </si>
  <si>
    <r>
      <t>d</t>
    </r>
    <r>
      <rPr>
        <vertAlign val="subscript"/>
        <sz val="12"/>
        <rFont val="Arial"/>
        <family val="2"/>
      </rPr>
      <t>an2</t>
    </r>
    <r>
      <rPr>
        <sz val="12"/>
        <rFont val="Arial"/>
        <family val="2"/>
      </rPr>
      <t xml:space="preserve"> =</t>
    </r>
  </si>
  <si>
    <r>
      <t>tan a</t>
    </r>
    <r>
      <rPr>
        <vertAlign val="subscript"/>
        <sz val="12"/>
        <rFont val="Arial"/>
        <family val="2"/>
      </rPr>
      <t>n</t>
    </r>
    <r>
      <rPr>
        <sz val="12"/>
        <rFont val="Arial"/>
        <family val="2"/>
      </rPr>
      <t xml:space="preserve"> =</t>
    </r>
  </si>
  <si>
    <r>
      <t>d</t>
    </r>
    <r>
      <rPr>
        <vertAlign val="subscript"/>
        <sz val="12"/>
        <rFont val="Arial"/>
        <family val="2"/>
      </rPr>
      <t>n1</t>
    </r>
    <r>
      <rPr>
        <sz val="12"/>
        <rFont val="Arial"/>
        <family val="2"/>
      </rPr>
      <t xml:space="preserve"> =</t>
    </r>
  </si>
  <si>
    <r>
      <t>d</t>
    </r>
    <r>
      <rPr>
        <vertAlign val="subscript"/>
        <sz val="12"/>
        <rFont val="Arial"/>
        <family val="2"/>
      </rPr>
      <t>n2</t>
    </r>
    <r>
      <rPr>
        <sz val="12"/>
        <rFont val="Arial"/>
        <family val="2"/>
      </rPr>
      <t xml:space="preserve"> =</t>
    </r>
  </si>
  <si>
    <r>
      <t>d</t>
    </r>
    <r>
      <rPr>
        <vertAlign val="subscript"/>
        <sz val="12"/>
        <rFont val="Arial"/>
        <family val="2"/>
      </rPr>
      <t>a1</t>
    </r>
    <r>
      <rPr>
        <sz val="12"/>
        <rFont val="Arial"/>
        <family val="2"/>
      </rPr>
      <t xml:space="preserve"> =</t>
    </r>
  </si>
  <si>
    <r>
      <t>d</t>
    </r>
    <r>
      <rPr>
        <vertAlign val="subscript"/>
        <sz val="12"/>
        <rFont val="Arial"/>
        <family val="2"/>
      </rPr>
      <t>a2</t>
    </r>
    <r>
      <rPr>
        <sz val="12"/>
        <rFont val="Arial"/>
        <family val="2"/>
      </rPr>
      <t xml:space="preserve"> =</t>
    </r>
  </si>
  <si>
    <r>
      <t>d</t>
    </r>
    <r>
      <rPr>
        <vertAlign val="subscript"/>
        <sz val="12"/>
        <rFont val="Arial"/>
        <family val="2"/>
      </rPr>
      <t>2</t>
    </r>
    <r>
      <rPr>
        <sz val="12"/>
        <rFont val="Arial"/>
        <family val="2"/>
      </rPr>
      <t xml:space="preserve"> =</t>
    </r>
  </si>
  <si>
    <r>
      <t>x</t>
    </r>
    <r>
      <rPr>
        <vertAlign val="subscript"/>
        <sz val="12"/>
        <rFont val="Arial"/>
        <family val="2"/>
      </rPr>
      <t>1</t>
    </r>
    <r>
      <rPr>
        <sz val="12"/>
        <rFont val="Arial"/>
        <family val="2"/>
      </rPr>
      <t xml:space="preserve"> =</t>
    </r>
  </si>
  <si>
    <r>
      <t>x</t>
    </r>
    <r>
      <rPr>
        <vertAlign val="subscript"/>
        <sz val="12"/>
        <rFont val="Arial"/>
        <family val="2"/>
      </rPr>
      <t>2</t>
    </r>
    <r>
      <rPr>
        <sz val="12"/>
        <rFont val="Arial"/>
        <family val="2"/>
      </rPr>
      <t xml:space="preserve"> =</t>
    </r>
  </si>
  <si>
    <r>
      <t>g</t>
    </r>
    <r>
      <rPr>
        <vertAlign val="subscript"/>
        <sz val="12"/>
        <rFont val="Arial"/>
        <family val="2"/>
      </rPr>
      <t>a1</t>
    </r>
    <r>
      <rPr>
        <sz val="12"/>
        <rFont val="Arial"/>
        <family val="2"/>
      </rPr>
      <t xml:space="preserve"> =</t>
    </r>
  </si>
  <si>
    <r>
      <t>g</t>
    </r>
    <r>
      <rPr>
        <vertAlign val="subscript"/>
        <sz val="12"/>
        <rFont val="Arial"/>
        <family val="2"/>
      </rPr>
      <t>a2</t>
    </r>
    <r>
      <rPr>
        <sz val="12"/>
        <rFont val="Arial"/>
        <family val="2"/>
      </rPr>
      <t xml:space="preserve"> =</t>
    </r>
  </si>
  <si>
    <r>
      <t>inv a</t>
    </r>
    <r>
      <rPr>
        <vertAlign val="subscript"/>
        <sz val="12"/>
        <rFont val="Arial"/>
        <family val="2"/>
      </rPr>
      <t>n</t>
    </r>
    <r>
      <rPr>
        <sz val="12"/>
        <rFont val="Arial"/>
        <family val="2"/>
      </rPr>
      <t xml:space="preserve"> =</t>
    </r>
  </si>
  <si>
    <r>
      <t>inv a</t>
    </r>
    <r>
      <rPr>
        <vertAlign val="subscript"/>
        <sz val="12"/>
        <rFont val="Arial"/>
        <family val="2"/>
      </rPr>
      <t>an1</t>
    </r>
    <r>
      <rPr>
        <sz val="12"/>
        <rFont val="Arial"/>
        <family val="2"/>
      </rPr>
      <t xml:space="preserve"> =</t>
    </r>
  </si>
  <si>
    <r>
      <t>inv a</t>
    </r>
    <r>
      <rPr>
        <vertAlign val="subscript"/>
        <sz val="12"/>
        <rFont val="Arial"/>
        <family val="2"/>
      </rPr>
      <t>an2</t>
    </r>
    <r>
      <rPr>
        <sz val="12"/>
        <rFont val="Arial"/>
        <family val="2"/>
      </rPr>
      <t xml:space="preserve"> =</t>
    </r>
  </si>
  <si>
    <r>
      <t>F</t>
    </r>
    <r>
      <rPr>
        <vertAlign val="subscript"/>
        <sz val="12"/>
        <rFont val="Arial"/>
        <family val="2"/>
      </rPr>
      <t>or</t>
    </r>
    <r>
      <rPr>
        <sz val="12"/>
        <rFont val="Arial"/>
        <family val="2"/>
      </rPr>
      <t xml:space="preserve"> =</t>
    </r>
  </si>
  <si>
    <r>
      <t>F</t>
    </r>
    <r>
      <rPr>
        <vertAlign val="subscript"/>
        <sz val="12"/>
        <rFont val="Arial"/>
        <family val="2"/>
      </rPr>
      <t>t</t>
    </r>
    <r>
      <rPr>
        <sz val="12"/>
        <rFont val="Arial"/>
        <family val="2"/>
      </rPr>
      <t xml:space="preserve"> =</t>
    </r>
  </si>
  <si>
    <r>
      <t>K</t>
    </r>
    <r>
      <rPr>
        <vertAlign val="subscript"/>
        <sz val="12"/>
        <rFont val="Arial"/>
        <family val="2"/>
      </rPr>
      <t>IS</t>
    </r>
    <r>
      <rPr>
        <sz val="12"/>
        <rFont val="Arial"/>
        <family val="2"/>
      </rPr>
      <t xml:space="preserve"> =</t>
    </r>
  </si>
  <si>
    <r>
      <t>K</t>
    </r>
    <r>
      <rPr>
        <vertAlign val="subscript"/>
        <sz val="12"/>
        <rFont val="Arial"/>
        <family val="2"/>
      </rPr>
      <t>Va</t>
    </r>
    <r>
      <rPr>
        <sz val="12"/>
        <rFont val="Arial"/>
        <family val="2"/>
      </rPr>
      <t xml:space="preserve"> =</t>
    </r>
  </si>
  <si>
    <r>
      <t>K</t>
    </r>
    <r>
      <rPr>
        <vertAlign val="subscript"/>
        <sz val="12"/>
        <rFont val="Arial"/>
        <family val="2"/>
      </rPr>
      <t>Vb</t>
    </r>
    <r>
      <rPr>
        <sz val="12"/>
        <rFont val="Arial"/>
        <family val="2"/>
      </rPr>
      <t xml:space="preserve"> =</t>
    </r>
  </si>
  <si>
    <r>
      <t>K</t>
    </r>
    <r>
      <rPr>
        <vertAlign val="subscript"/>
        <sz val="12"/>
        <rFont val="Arial"/>
        <family val="2"/>
      </rPr>
      <t>4</t>
    </r>
    <r>
      <rPr>
        <sz val="12"/>
        <rFont val="Arial"/>
        <family val="2"/>
      </rPr>
      <t xml:space="preserve"> =</t>
    </r>
  </si>
  <si>
    <r>
      <t>z</t>
    </r>
    <r>
      <rPr>
        <vertAlign val="subscript"/>
        <sz val="12"/>
        <rFont val="Arial"/>
        <family val="2"/>
      </rPr>
      <t>1</t>
    </r>
    <r>
      <rPr>
        <sz val="12"/>
        <rFont val="Arial"/>
        <family val="2"/>
      </rPr>
      <t xml:space="preserve"> =</t>
    </r>
  </si>
  <si>
    <r>
      <t>z</t>
    </r>
    <r>
      <rPr>
        <vertAlign val="subscript"/>
        <sz val="12"/>
        <rFont val="Arial"/>
        <family val="2"/>
      </rPr>
      <t>2</t>
    </r>
    <r>
      <rPr>
        <sz val="12"/>
        <rFont val="Arial"/>
        <family val="2"/>
      </rPr>
      <t xml:space="preserve"> =</t>
    </r>
  </si>
  <si>
    <r>
      <t>v</t>
    </r>
    <r>
      <rPr>
        <vertAlign val="subscript"/>
        <sz val="12"/>
        <rFont val="Arial"/>
        <family val="2"/>
      </rPr>
      <t>1</t>
    </r>
    <r>
      <rPr>
        <sz val="12"/>
        <rFont val="Arial"/>
        <family val="2"/>
      </rPr>
      <t xml:space="preserve"> =</t>
    </r>
  </si>
  <si>
    <r>
      <t>K</t>
    </r>
    <r>
      <rPr>
        <vertAlign val="subscript"/>
        <sz val="12"/>
        <rFont val="Arial"/>
        <family val="2"/>
      </rPr>
      <t>1</t>
    </r>
    <r>
      <rPr>
        <sz val="12"/>
        <rFont val="Arial"/>
        <family val="2"/>
      </rPr>
      <t xml:space="preserve"> =</t>
    </r>
  </si>
  <si>
    <r>
      <t>K</t>
    </r>
    <r>
      <rPr>
        <vertAlign val="subscript"/>
        <sz val="12"/>
        <rFont val="Arial"/>
        <family val="2"/>
      </rPr>
      <t>1</t>
    </r>
  </si>
  <si>
    <r>
      <t>F</t>
    </r>
    <r>
      <rPr>
        <vertAlign val="subscript"/>
        <sz val="12"/>
        <rFont val="Arial"/>
        <family val="2"/>
      </rPr>
      <t>bx</t>
    </r>
    <r>
      <rPr>
        <sz val="12"/>
        <rFont val="Arial"/>
        <family val="2"/>
      </rPr>
      <t xml:space="preserve"> - y</t>
    </r>
    <r>
      <rPr>
        <vertAlign val="subscript"/>
        <sz val="12"/>
        <rFont val="Arial"/>
        <family val="2"/>
      </rPr>
      <t>b</t>
    </r>
  </si>
  <si>
    <r>
      <t>f</t>
    </r>
    <r>
      <rPr>
        <vertAlign val="subscript"/>
        <sz val="12"/>
        <rFont val="Arial"/>
        <family val="2"/>
      </rPr>
      <t>ma</t>
    </r>
    <r>
      <rPr>
        <sz val="12"/>
        <rFont val="Arial"/>
        <family val="2"/>
      </rPr>
      <t xml:space="preserve"> +1.33*f</t>
    </r>
    <r>
      <rPr>
        <vertAlign val="subscript"/>
        <sz val="12"/>
        <rFont val="Arial"/>
        <family val="2"/>
      </rPr>
      <t>sh</t>
    </r>
  </si>
  <si>
    <r>
      <t>f</t>
    </r>
    <r>
      <rPr>
        <vertAlign val="subscript"/>
        <sz val="12"/>
        <rFont val="Arial"/>
        <family val="2"/>
      </rPr>
      <t>ma</t>
    </r>
    <r>
      <rPr>
        <sz val="12"/>
        <rFont val="Arial"/>
        <family val="2"/>
      </rPr>
      <t xml:space="preserve"> =</t>
    </r>
  </si>
  <si>
    <r>
      <t>4.16*b</t>
    </r>
    <r>
      <rPr>
        <vertAlign val="superscript"/>
        <sz val="12"/>
        <rFont val="Arial"/>
        <family val="2"/>
      </rPr>
      <t>0.14</t>
    </r>
    <r>
      <rPr>
        <sz val="12"/>
        <rFont val="Arial"/>
        <family val="2"/>
      </rPr>
      <t>*q</t>
    </r>
    <r>
      <rPr>
        <vertAlign val="subscript"/>
        <sz val="12"/>
        <rFont val="Arial"/>
        <family val="2"/>
      </rPr>
      <t>H</t>
    </r>
  </si>
  <si>
    <r>
      <t>q</t>
    </r>
    <r>
      <rPr>
        <vertAlign val="subscript"/>
        <sz val="12"/>
        <rFont val="Arial"/>
        <family val="2"/>
      </rPr>
      <t>H</t>
    </r>
    <r>
      <rPr>
        <sz val="12"/>
        <rFont val="Arial"/>
        <family val="2"/>
      </rPr>
      <t xml:space="preserve"> =</t>
    </r>
  </si>
  <si>
    <r>
      <t>q</t>
    </r>
    <r>
      <rPr>
        <vertAlign val="subscript"/>
        <sz val="12"/>
        <rFont val="Arial"/>
        <family val="2"/>
      </rPr>
      <t>H</t>
    </r>
  </si>
  <si>
    <r>
      <t>F</t>
    </r>
    <r>
      <rPr>
        <vertAlign val="subscript"/>
        <sz val="12"/>
        <rFont val="Arial"/>
        <family val="2"/>
      </rPr>
      <t>t</t>
    </r>
    <r>
      <rPr>
        <sz val="12"/>
        <rFont val="Arial"/>
        <family val="2"/>
      </rPr>
      <t xml:space="preserve"> / b =</t>
    </r>
  </si>
  <si>
    <r>
      <t>f</t>
    </r>
    <r>
      <rPr>
        <vertAlign val="subscript"/>
        <sz val="12"/>
        <rFont val="Arial"/>
        <family val="2"/>
      </rPr>
      <t>sh</t>
    </r>
    <r>
      <rPr>
        <sz val="12"/>
        <rFont val="Arial"/>
        <family val="2"/>
      </rPr>
      <t xml:space="preserve"> =</t>
    </r>
  </si>
  <si>
    <t>Değen diş genişliği b [mm]</t>
  </si>
  <si>
    <r>
      <t>s</t>
    </r>
    <r>
      <rPr>
        <vertAlign val="subscript"/>
        <sz val="12"/>
        <rFont val="Arial"/>
        <family val="2"/>
      </rPr>
      <t xml:space="preserve">Hlim1 </t>
    </r>
    <r>
      <rPr>
        <sz val="12"/>
        <rFont val="Arial"/>
        <family val="2"/>
      </rPr>
      <t xml:space="preserve">= </t>
    </r>
  </si>
  <si>
    <r>
      <t>y</t>
    </r>
    <r>
      <rPr>
        <vertAlign val="subscript"/>
        <sz val="12"/>
        <color indexed="10"/>
        <rFont val="Arial"/>
        <family val="2"/>
      </rPr>
      <t xml:space="preserve">b1 </t>
    </r>
    <r>
      <rPr>
        <sz val="12"/>
        <color indexed="10"/>
        <rFont val="Arial"/>
        <family val="2"/>
      </rPr>
      <t>=</t>
    </r>
  </si>
  <si>
    <r>
      <t>s</t>
    </r>
    <r>
      <rPr>
        <vertAlign val="subscript"/>
        <sz val="12"/>
        <rFont val="Arial"/>
        <family val="2"/>
      </rPr>
      <t xml:space="preserve">Hlim2 </t>
    </r>
    <r>
      <rPr>
        <sz val="12"/>
        <rFont val="Arial"/>
        <family val="2"/>
      </rPr>
      <t xml:space="preserve">= </t>
    </r>
  </si>
  <si>
    <r>
      <t>y</t>
    </r>
    <r>
      <rPr>
        <vertAlign val="subscript"/>
        <sz val="12"/>
        <color indexed="10"/>
        <rFont val="Arial"/>
        <family val="2"/>
      </rPr>
      <t xml:space="preserve">b2 </t>
    </r>
    <r>
      <rPr>
        <sz val="12"/>
        <color indexed="10"/>
        <rFont val="Arial"/>
        <family val="2"/>
      </rPr>
      <t>=</t>
    </r>
  </si>
  <si>
    <r>
      <t>s</t>
    </r>
    <r>
      <rPr>
        <vertAlign val="subscript"/>
        <sz val="12"/>
        <rFont val="Arial"/>
        <family val="2"/>
      </rPr>
      <t>Hlim</t>
    </r>
  </si>
  <si>
    <r>
      <t>Alışma değeri  y</t>
    </r>
    <r>
      <rPr>
        <vertAlign val="subscript"/>
        <sz val="12"/>
        <rFont val="Arial"/>
        <family val="2"/>
      </rPr>
      <t>b</t>
    </r>
    <r>
      <rPr>
        <sz val="12"/>
        <rFont val="Arial"/>
        <family val="2"/>
      </rPr>
      <t xml:space="preserve"> [mm]</t>
    </r>
  </si>
  <si>
    <t>Çevre hızı  v  [m/s]</t>
  </si>
  <si>
    <r>
      <t>F</t>
    </r>
    <r>
      <rPr>
        <vertAlign val="subscript"/>
        <sz val="12"/>
        <rFont val="Arial"/>
        <family val="2"/>
      </rPr>
      <t>bx</t>
    </r>
    <r>
      <rPr>
        <sz val="12"/>
        <rFont val="Arial"/>
        <family val="2"/>
      </rPr>
      <t xml:space="preserve"> </t>
    </r>
  </si>
  <si>
    <r>
      <t>e</t>
    </r>
    <r>
      <rPr>
        <vertAlign val="subscript"/>
        <sz val="12"/>
        <color indexed="10"/>
        <rFont val="Arial"/>
        <family val="2"/>
      </rPr>
      <t>an</t>
    </r>
    <r>
      <rPr>
        <sz val="12"/>
        <color indexed="10"/>
        <rFont val="Arial"/>
        <family val="2"/>
      </rPr>
      <t xml:space="preserve"> =</t>
    </r>
  </si>
  <si>
    <r>
      <t>K</t>
    </r>
    <r>
      <rPr>
        <vertAlign val="subscript"/>
        <sz val="12"/>
        <rFont val="Arial"/>
        <family val="2"/>
      </rPr>
      <t xml:space="preserve">Fa </t>
    </r>
    <r>
      <rPr>
        <sz val="12"/>
        <rFont val="Arial"/>
        <family val="2"/>
      </rPr>
      <t xml:space="preserve"> =</t>
    </r>
  </si>
  <si>
    <r>
      <t>K</t>
    </r>
    <r>
      <rPr>
        <vertAlign val="subscript"/>
        <sz val="12"/>
        <rFont val="Arial"/>
        <family val="2"/>
      </rPr>
      <t xml:space="preserve">Ha </t>
    </r>
    <r>
      <rPr>
        <sz val="12"/>
        <rFont val="Arial"/>
        <family val="2"/>
      </rPr>
      <t xml:space="preserve"> =</t>
    </r>
  </si>
  <si>
    <r>
      <t>Çizgisel yük ( K</t>
    </r>
    <r>
      <rPr>
        <vertAlign val="subscript"/>
        <sz val="12"/>
        <rFont val="Arial"/>
        <family val="2"/>
      </rPr>
      <t>A</t>
    </r>
    <r>
      <rPr>
        <sz val="12"/>
        <rFont val="Arial"/>
        <family val="2"/>
      </rPr>
      <t xml:space="preserve"> F</t>
    </r>
    <r>
      <rPr>
        <vertAlign val="subscript"/>
        <sz val="12"/>
        <rFont val="Arial"/>
        <family val="2"/>
      </rPr>
      <t>t</t>
    </r>
    <r>
      <rPr>
        <sz val="12"/>
        <rFont val="Arial"/>
        <family val="2"/>
      </rPr>
      <t xml:space="preserve"> / b ) in N/mm</t>
    </r>
  </si>
  <si>
    <r>
      <t>K</t>
    </r>
    <r>
      <rPr>
        <vertAlign val="subscript"/>
        <sz val="12"/>
        <rFont val="Arial"/>
        <family val="2"/>
      </rPr>
      <t>Fa</t>
    </r>
  </si>
  <si>
    <r>
      <t>1 / Y</t>
    </r>
    <r>
      <rPr>
        <vertAlign val="subscript"/>
        <sz val="12"/>
        <rFont val="Arial"/>
        <family val="2"/>
      </rPr>
      <t>e</t>
    </r>
    <r>
      <rPr>
        <sz val="12"/>
        <rFont val="Arial"/>
        <family val="2"/>
      </rPr>
      <t xml:space="preserve">  &gt;1,2          3)*</t>
    </r>
  </si>
  <si>
    <r>
      <t>K</t>
    </r>
    <r>
      <rPr>
        <vertAlign val="subscript"/>
        <sz val="12"/>
        <rFont val="Arial"/>
        <family val="2"/>
      </rPr>
      <t>Ha</t>
    </r>
  </si>
  <si>
    <r>
      <t>1 / Z</t>
    </r>
    <r>
      <rPr>
        <vertAlign val="subscript"/>
        <sz val="12"/>
        <rFont val="Arial"/>
        <family val="2"/>
      </rPr>
      <t>e</t>
    </r>
    <r>
      <rPr>
        <vertAlign val="superscript"/>
        <sz val="12"/>
        <rFont val="Arial"/>
        <family val="2"/>
      </rPr>
      <t xml:space="preserve">2 </t>
    </r>
    <r>
      <rPr>
        <sz val="12"/>
        <rFont val="Arial"/>
        <family val="2"/>
      </rPr>
      <t>&gt; 1,2          3)*</t>
    </r>
  </si>
  <si>
    <r>
      <t>e</t>
    </r>
    <r>
      <rPr>
        <vertAlign val="subscript"/>
        <sz val="12"/>
        <rFont val="Arial"/>
        <family val="2"/>
      </rPr>
      <t>an</t>
    </r>
    <r>
      <rPr>
        <sz val="12"/>
        <rFont val="Arial"/>
        <family val="2"/>
      </rPr>
      <t xml:space="preserve"> = e</t>
    </r>
    <r>
      <rPr>
        <vertAlign val="subscript"/>
        <sz val="12"/>
        <rFont val="Arial"/>
        <family val="2"/>
      </rPr>
      <t>a</t>
    </r>
    <r>
      <rPr>
        <sz val="12"/>
        <rFont val="Arial"/>
        <family val="2"/>
      </rPr>
      <t xml:space="preserve"> / cos</t>
    </r>
    <r>
      <rPr>
        <vertAlign val="superscript"/>
        <sz val="12"/>
        <rFont val="Arial"/>
        <family val="2"/>
      </rPr>
      <t>2</t>
    </r>
    <r>
      <rPr>
        <sz val="12"/>
        <rFont val="Arial"/>
        <family val="2"/>
      </rPr>
      <t>b</t>
    </r>
    <r>
      <rPr>
        <vertAlign val="subscript"/>
        <sz val="12"/>
        <rFont val="Arial"/>
        <family val="2"/>
      </rPr>
      <t>b</t>
    </r>
    <r>
      <rPr>
        <sz val="12"/>
        <rFont val="Arial"/>
        <family val="2"/>
      </rPr>
      <t xml:space="preserve"> &gt;1,4    3)*</t>
    </r>
  </si>
  <si>
    <r>
      <t>1 / Y</t>
    </r>
    <r>
      <rPr>
        <vertAlign val="subscript"/>
        <sz val="12"/>
        <rFont val="Arial"/>
        <family val="2"/>
      </rPr>
      <t>e</t>
    </r>
    <r>
      <rPr>
        <sz val="12"/>
        <rFont val="Arial"/>
        <family val="2"/>
      </rPr>
      <t xml:space="preserve"> &gt;1,2          3)*</t>
    </r>
  </si>
  <si>
    <r>
      <t>1 / Z</t>
    </r>
    <r>
      <rPr>
        <vertAlign val="subscript"/>
        <sz val="12"/>
        <rFont val="Arial"/>
        <family val="2"/>
      </rPr>
      <t>e</t>
    </r>
    <r>
      <rPr>
        <vertAlign val="superscript"/>
        <sz val="12"/>
        <rFont val="Arial"/>
        <family val="2"/>
      </rPr>
      <t>2</t>
    </r>
    <r>
      <rPr>
        <sz val="12"/>
        <rFont val="Arial"/>
        <family val="2"/>
      </rPr>
      <t xml:space="preserve"> &gt; 1,2          3)*</t>
    </r>
  </si>
  <si>
    <r>
      <t>e</t>
    </r>
    <r>
      <rPr>
        <vertAlign val="subscript"/>
        <sz val="12"/>
        <rFont val="Arial"/>
        <family val="2"/>
      </rPr>
      <t>an</t>
    </r>
    <r>
      <rPr>
        <sz val="12"/>
        <rFont val="Arial"/>
        <family val="2"/>
      </rPr>
      <t xml:space="preserve"> = e</t>
    </r>
    <r>
      <rPr>
        <vertAlign val="subscript"/>
        <sz val="12"/>
        <rFont val="Arial"/>
        <family val="2"/>
      </rPr>
      <t>a</t>
    </r>
    <r>
      <rPr>
        <sz val="12"/>
        <rFont val="Arial"/>
        <family val="2"/>
      </rPr>
      <t xml:space="preserve"> / cos</t>
    </r>
    <r>
      <rPr>
        <vertAlign val="superscript"/>
        <sz val="12"/>
        <rFont val="Arial"/>
        <family val="2"/>
      </rPr>
      <t>2</t>
    </r>
    <r>
      <rPr>
        <sz val="12"/>
        <rFont val="Arial"/>
        <family val="2"/>
      </rPr>
      <t>b</t>
    </r>
    <r>
      <rPr>
        <vertAlign val="subscript"/>
        <sz val="12"/>
        <rFont val="Arial"/>
        <family val="2"/>
      </rPr>
      <t>b</t>
    </r>
    <r>
      <rPr>
        <sz val="12"/>
        <rFont val="Arial"/>
        <family val="2"/>
      </rPr>
      <t xml:space="preserve"> &gt; 1,4</t>
    </r>
  </si>
  <si>
    <r>
      <t>cos a</t>
    </r>
    <r>
      <rPr>
        <vertAlign val="subscript"/>
        <sz val="12"/>
        <rFont val="Arial"/>
        <family val="2"/>
      </rPr>
      <t>n</t>
    </r>
    <r>
      <rPr>
        <sz val="12"/>
        <rFont val="Arial"/>
        <family val="2"/>
      </rPr>
      <t xml:space="preserve"> =</t>
    </r>
  </si>
  <si>
    <r>
      <t>sin a</t>
    </r>
    <r>
      <rPr>
        <vertAlign val="subscript"/>
        <sz val="12"/>
        <rFont val="Arial"/>
        <family val="2"/>
      </rPr>
      <t>n</t>
    </r>
    <r>
      <rPr>
        <sz val="12"/>
        <rFont val="Arial"/>
        <family val="2"/>
      </rPr>
      <t xml:space="preserve"> =</t>
    </r>
  </si>
  <si>
    <r>
      <t>H</t>
    </r>
    <r>
      <rPr>
        <vertAlign val="subscript"/>
        <sz val="12"/>
        <color indexed="10"/>
        <rFont val="Arial"/>
        <family val="2"/>
      </rPr>
      <t>1</t>
    </r>
    <r>
      <rPr>
        <sz val="12"/>
        <color indexed="10"/>
        <rFont val="Arial"/>
        <family val="2"/>
      </rPr>
      <t xml:space="preserve"> =</t>
    </r>
  </si>
  <si>
    <r>
      <t>H</t>
    </r>
    <r>
      <rPr>
        <vertAlign val="subscript"/>
        <sz val="12"/>
        <color indexed="10"/>
        <rFont val="Arial"/>
        <family val="2"/>
      </rPr>
      <t>2</t>
    </r>
    <r>
      <rPr>
        <sz val="12"/>
        <color indexed="10"/>
        <rFont val="Arial"/>
        <family val="2"/>
      </rPr>
      <t xml:space="preserve"> =</t>
    </r>
  </si>
  <si>
    <r>
      <t>h</t>
    </r>
    <r>
      <rPr>
        <vertAlign val="subscript"/>
        <sz val="12"/>
        <rFont val="Arial"/>
        <family val="2"/>
      </rPr>
      <t>a0</t>
    </r>
    <r>
      <rPr>
        <sz val="12"/>
        <rFont val="Arial"/>
        <family val="2"/>
      </rPr>
      <t xml:space="preserve"> =</t>
    </r>
  </si>
  <si>
    <r>
      <t>Y</t>
    </r>
    <r>
      <rPr>
        <vertAlign val="subscript"/>
        <sz val="12"/>
        <color indexed="10"/>
        <rFont val="Arial"/>
        <family val="2"/>
      </rPr>
      <t>Sa1</t>
    </r>
    <r>
      <rPr>
        <sz val="12"/>
        <color indexed="10"/>
        <rFont val="Arial"/>
        <family val="2"/>
      </rPr>
      <t xml:space="preserve"> =</t>
    </r>
  </si>
  <si>
    <r>
      <t>Y</t>
    </r>
    <r>
      <rPr>
        <vertAlign val="subscript"/>
        <sz val="12"/>
        <color indexed="10"/>
        <rFont val="Arial"/>
        <family val="2"/>
      </rPr>
      <t>Sa2</t>
    </r>
    <r>
      <rPr>
        <sz val="12"/>
        <color indexed="10"/>
        <rFont val="Arial"/>
        <family val="2"/>
      </rPr>
      <t xml:space="preserve"> =</t>
    </r>
  </si>
  <si>
    <r>
      <t>L</t>
    </r>
    <r>
      <rPr>
        <vertAlign val="subscript"/>
        <sz val="12"/>
        <color indexed="10"/>
        <rFont val="Arial"/>
        <family val="2"/>
      </rPr>
      <t>a1</t>
    </r>
    <r>
      <rPr>
        <sz val="12"/>
        <color indexed="10"/>
        <rFont val="Arial"/>
        <family val="2"/>
      </rPr>
      <t xml:space="preserve"> =</t>
    </r>
  </si>
  <si>
    <r>
      <t>L</t>
    </r>
    <r>
      <rPr>
        <vertAlign val="subscript"/>
        <sz val="12"/>
        <color indexed="10"/>
        <rFont val="Arial"/>
        <family val="2"/>
      </rPr>
      <t>a2</t>
    </r>
    <r>
      <rPr>
        <sz val="12"/>
        <color indexed="10"/>
        <rFont val="Arial"/>
        <family val="2"/>
      </rPr>
      <t xml:space="preserve"> =</t>
    </r>
  </si>
  <si>
    <r>
      <t>q</t>
    </r>
    <r>
      <rPr>
        <vertAlign val="subscript"/>
        <sz val="12"/>
        <color indexed="10"/>
        <rFont val="Arial"/>
        <family val="2"/>
      </rPr>
      <t>s1</t>
    </r>
    <r>
      <rPr>
        <sz val="12"/>
        <color indexed="10"/>
        <rFont val="Arial"/>
        <family val="2"/>
      </rPr>
      <t xml:space="preserve"> =</t>
    </r>
  </si>
  <si>
    <r>
      <t>q</t>
    </r>
    <r>
      <rPr>
        <vertAlign val="subscript"/>
        <sz val="12"/>
        <color indexed="10"/>
        <rFont val="Arial"/>
        <family val="2"/>
      </rPr>
      <t>s2</t>
    </r>
    <r>
      <rPr>
        <sz val="12"/>
        <color indexed="10"/>
        <rFont val="Arial"/>
        <family val="2"/>
      </rPr>
      <t xml:space="preserve"> =</t>
    </r>
  </si>
  <si>
    <r>
      <t>r</t>
    </r>
    <r>
      <rPr>
        <vertAlign val="subscript"/>
        <sz val="12"/>
        <color indexed="10"/>
        <rFont val="Arial"/>
        <family val="2"/>
      </rPr>
      <t>F1</t>
    </r>
    <r>
      <rPr>
        <sz val="12"/>
        <color indexed="10"/>
        <rFont val="Arial"/>
        <family val="2"/>
      </rPr>
      <t xml:space="preserve"> =</t>
    </r>
  </si>
  <si>
    <r>
      <t>r</t>
    </r>
    <r>
      <rPr>
        <vertAlign val="subscript"/>
        <sz val="12"/>
        <color indexed="10"/>
        <rFont val="Arial"/>
        <family val="2"/>
      </rPr>
      <t>F2</t>
    </r>
    <r>
      <rPr>
        <sz val="12"/>
        <color indexed="10"/>
        <rFont val="Arial"/>
        <family val="2"/>
      </rPr>
      <t xml:space="preserve"> =</t>
    </r>
  </si>
  <si>
    <r>
      <t>G</t>
    </r>
    <r>
      <rPr>
        <vertAlign val="subscript"/>
        <sz val="12"/>
        <rFont val="Arial"/>
        <family val="2"/>
      </rPr>
      <t>1</t>
    </r>
    <r>
      <rPr>
        <sz val="12"/>
        <rFont val="Arial"/>
        <family val="2"/>
      </rPr>
      <t xml:space="preserve"> =</t>
    </r>
  </si>
  <si>
    <r>
      <t>G</t>
    </r>
    <r>
      <rPr>
        <vertAlign val="subscript"/>
        <sz val="12"/>
        <rFont val="Arial"/>
        <family val="2"/>
      </rPr>
      <t>2</t>
    </r>
    <r>
      <rPr>
        <sz val="12"/>
        <rFont val="Arial"/>
        <family val="2"/>
      </rPr>
      <t xml:space="preserve"> =</t>
    </r>
  </si>
  <si>
    <r>
      <t>cos J</t>
    </r>
    <r>
      <rPr>
        <vertAlign val="subscript"/>
        <sz val="12"/>
        <rFont val="Arial"/>
        <family val="2"/>
      </rPr>
      <t>1</t>
    </r>
    <r>
      <rPr>
        <sz val="12"/>
        <rFont val="Arial"/>
        <family val="2"/>
      </rPr>
      <t xml:space="preserve"> =</t>
    </r>
  </si>
  <si>
    <r>
      <t>cos J</t>
    </r>
    <r>
      <rPr>
        <vertAlign val="subscript"/>
        <sz val="12"/>
        <rFont val="Arial"/>
        <family val="2"/>
      </rPr>
      <t>2</t>
    </r>
    <r>
      <rPr>
        <sz val="12"/>
        <rFont val="Arial"/>
        <family val="2"/>
      </rPr>
      <t xml:space="preserve"> =</t>
    </r>
  </si>
  <si>
    <r>
      <t>z</t>
    </r>
    <r>
      <rPr>
        <vertAlign val="subscript"/>
        <sz val="12"/>
        <rFont val="Arial"/>
        <family val="2"/>
      </rPr>
      <t>n1</t>
    </r>
    <r>
      <rPr>
        <sz val="12"/>
        <rFont val="Arial"/>
        <family val="2"/>
      </rPr>
      <t xml:space="preserve"> =</t>
    </r>
  </si>
  <si>
    <r>
      <t>z</t>
    </r>
    <r>
      <rPr>
        <vertAlign val="subscript"/>
        <sz val="12"/>
        <rFont val="Arial"/>
        <family val="2"/>
      </rPr>
      <t>n2</t>
    </r>
    <r>
      <rPr>
        <sz val="12"/>
        <rFont val="Arial"/>
        <family val="2"/>
      </rPr>
      <t xml:space="preserve"> =</t>
    </r>
  </si>
  <si>
    <r>
      <t>s</t>
    </r>
    <r>
      <rPr>
        <vertAlign val="subscript"/>
        <sz val="12"/>
        <rFont val="Arial"/>
        <family val="2"/>
      </rPr>
      <t>FG</t>
    </r>
  </si>
  <si>
    <r>
      <t>N/mm</t>
    </r>
    <r>
      <rPr>
        <vertAlign val="superscript"/>
        <sz val="12"/>
        <rFont val="Arial"/>
        <family val="2"/>
      </rPr>
      <t>2</t>
    </r>
  </si>
  <si>
    <r>
      <t>Y</t>
    </r>
    <r>
      <rPr>
        <vertAlign val="subscript"/>
        <sz val="12"/>
        <color indexed="10"/>
        <rFont val="Arial"/>
        <family val="2"/>
      </rPr>
      <t xml:space="preserve">ST </t>
    </r>
    <r>
      <rPr>
        <sz val="12"/>
        <color indexed="10"/>
        <rFont val="Arial"/>
        <family val="2"/>
      </rPr>
      <t>=</t>
    </r>
  </si>
  <si>
    <r>
      <t>Y</t>
    </r>
    <r>
      <rPr>
        <vertAlign val="subscript"/>
        <sz val="12"/>
        <color indexed="10"/>
        <rFont val="Arial"/>
        <family val="2"/>
      </rPr>
      <t xml:space="preserve">NT </t>
    </r>
    <r>
      <rPr>
        <sz val="12"/>
        <color indexed="10"/>
        <rFont val="Arial"/>
        <family val="2"/>
      </rPr>
      <t>=</t>
    </r>
  </si>
  <si>
    <r>
      <t>s</t>
    </r>
    <r>
      <rPr>
        <vertAlign val="subscript"/>
        <sz val="12"/>
        <rFont val="Arial"/>
        <family val="2"/>
      </rPr>
      <t>Flim1</t>
    </r>
    <r>
      <rPr>
        <sz val="12"/>
        <rFont val="Arial"/>
        <family val="2"/>
      </rPr>
      <t xml:space="preserve"> =</t>
    </r>
  </si>
  <si>
    <r>
      <t>Y</t>
    </r>
    <r>
      <rPr>
        <vertAlign val="subscript"/>
        <sz val="12"/>
        <color indexed="10"/>
        <rFont val="Arial"/>
        <family val="2"/>
      </rPr>
      <t xml:space="preserve">drelT </t>
    </r>
    <r>
      <rPr>
        <sz val="12"/>
        <color indexed="10"/>
        <rFont val="Arial"/>
        <family val="2"/>
      </rPr>
      <t>=</t>
    </r>
  </si>
  <si>
    <r>
      <t>s</t>
    </r>
    <r>
      <rPr>
        <vertAlign val="subscript"/>
        <sz val="12"/>
        <rFont val="Arial"/>
        <family val="2"/>
      </rPr>
      <t>Flim2</t>
    </r>
    <r>
      <rPr>
        <sz val="12"/>
        <rFont val="Arial"/>
        <family val="2"/>
      </rPr>
      <t xml:space="preserve"> =</t>
    </r>
  </si>
  <si>
    <r>
      <t>Y</t>
    </r>
    <r>
      <rPr>
        <vertAlign val="subscript"/>
        <sz val="12"/>
        <color indexed="10"/>
        <rFont val="Arial"/>
        <family val="2"/>
      </rPr>
      <t xml:space="preserve">RelT </t>
    </r>
    <r>
      <rPr>
        <sz val="12"/>
        <color indexed="10"/>
        <rFont val="Arial"/>
        <family val="2"/>
      </rPr>
      <t>=</t>
    </r>
  </si>
  <si>
    <r>
      <t>Y</t>
    </r>
    <r>
      <rPr>
        <vertAlign val="subscript"/>
        <sz val="12"/>
        <color indexed="10"/>
        <rFont val="Arial"/>
        <family val="2"/>
      </rPr>
      <t xml:space="preserve">x </t>
    </r>
    <r>
      <rPr>
        <sz val="12"/>
        <color indexed="10"/>
        <rFont val="Arial"/>
        <family val="2"/>
      </rPr>
      <t>=</t>
    </r>
  </si>
  <si>
    <r>
      <t>Yükleme sayısı  N</t>
    </r>
    <r>
      <rPr>
        <vertAlign val="subscript"/>
        <sz val="12"/>
        <rFont val="Arial"/>
        <family val="2"/>
      </rPr>
      <t>L</t>
    </r>
  </si>
  <si>
    <r>
      <t>10</t>
    </r>
    <r>
      <rPr>
        <vertAlign val="superscript"/>
        <sz val="12"/>
        <rFont val="Arial"/>
        <family val="2"/>
      </rPr>
      <t>3</t>
    </r>
    <r>
      <rPr>
        <sz val="12"/>
        <rFont val="Arial"/>
        <family val="2"/>
      </rPr>
      <t xml:space="preserve"> &lt; N</t>
    </r>
    <r>
      <rPr>
        <vertAlign val="subscript"/>
        <sz val="12"/>
        <rFont val="Arial"/>
        <family val="2"/>
      </rPr>
      <t>L</t>
    </r>
    <r>
      <rPr>
        <sz val="12"/>
        <rFont val="Arial"/>
        <family val="2"/>
      </rPr>
      <t xml:space="preserve"> &lt; 3.10</t>
    </r>
    <r>
      <rPr>
        <vertAlign val="superscript"/>
        <sz val="12"/>
        <rFont val="Arial"/>
        <family val="2"/>
      </rPr>
      <t>6</t>
    </r>
  </si>
  <si>
    <t>cosb =</t>
  </si>
  <si>
    <r>
      <t>tana</t>
    </r>
    <r>
      <rPr>
        <vertAlign val="subscript"/>
        <sz val="12"/>
        <rFont val="Arial"/>
        <family val="2"/>
      </rPr>
      <t xml:space="preserve">wt </t>
    </r>
    <r>
      <rPr>
        <sz val="12"/>
        <rFont val="Arial"/>
        <family val="2"/>
      </rPr>
      <t>=</t>
    </r>
  </si>
  <si>
    <r>
      <t>cosa</t>
    </r>
    <r>
      <rPr>
        <vertAlign val="subscript"/>
        <sz val="12"/>
        <rFont val="Arial"/>
        <family val="2"/>
      </rPr>
      <t xml:space="preserve">t </t>
    </r>
    <r>
      <rPr>
        <sz val="12"/>
        <rFont val="Arial"/>
        <family val="2"/>
      </rPr>
      <t>=</t>
    </r>
  </si>
  <si>
    <r>
      <t>cosb</t>
    </r>
    <r>
      <rPr>
        <vertAlign val="subscript"/>
        <sz val="12"/>
        <rFont val="Arial"/>
        <family val="2"/>
      </rPr>
      <t xml:space="preserve">b </t>
    </r>
    <r>
      <rPr>
        <sz val="12"/>
        <rFont val="Arial"/>
        <family val="2"/>
      </rPr>
      <t>=</t>
    </r>
  </si>
  <si>
    <r>
      <t>s</t>
    </r>
    <r>
      <rPr>
        <vertAlign val="subscript"/>
        <sz val="12"/>
        <color indexed="10"/>
        <rFont val="Arial"/>
        <family val="2"/>
      </rPr>
      <t>HG2</t>
    </r>
    <r>
      <rPr>
        <sz val="12"/>
        <color indexed="10"/>
        <rFont val="Arial"/>
        <family val="2"/>
      </rPr>
      <t xml:space="preserve"> =</t>
    </r>
  </si>
  <si>
    <r>
      <t>s</t>
    </r>
    <r>
      <rPr>
        <vertAlign val="subscript"/>
        <sz val="12"/>
        <rFont val="Arial"/>
        <family val="2"/>
      </rPr>
      <t>HG1</t>
    </r>
  </si>
  <si>
    <r>
      <t>s</t>
    </r>
    <r>
      <rPr>
        <vertAlign val="subscript"/>
        <sz val="12"/>
        <color indexed="10"/>
        <rFont val="Arial"/>
        <family val="2"/>
      </rPr>
      <t xml:space="preserve">HG1 </t>
    </r>
    <r>
      <rPr>
        <sz val="12"/>
        <color indexed="10"/>
        <rFont val="Arial"/>
        <family val="2"/>
      </rPr>
      <t>=</t>
    </r>
  </si>
  <si>
    <r>
      <t>K</t>
    </r>
    <r>
      <rPr>
        <vertAlign val="subscript"/>
        <sz val="12"/>
        <color indexed="10"/>
        <rFont val="Arial"/>
        <family val="2"/>
      </rPr>
      <t>H</t>
    </r>
    <r>
      <rPr>
        <vertAlign val="subscript"/>
        <sz val="12"/>
        <color indexed="10"/>
        <rFont val="Symbol"/>
        <family val="1"/>
      </rPr>
      <t>b</t>
    </r>
    <r>
      <rPr>
        <sz val="12"/>
        <color indexed="10"/>
        <rFont val="Arial"/>
        <family val="2"/>
      </rPr>
      <t xml:space="preserve"> =</t>
    </r>
  </si>
  <si>
    <r>
      <t>K</t>
    </r>
    <r>
      <rPr>
        <vertAlign val="subscript"/>
        <sz val="12"/>
        <color indexed="10"/>
        <rFont val="Arial"/>
        <family val="2"/>
      </rPr>
      <t>H</t>
    </r>
    <r>
      <rPr>
        <vertAlign val="subscript"/>
        <sz val="12"/>
        <color indexed="10"/>
        <rFont val="Symbol"/>
        <family val="1"/>
      </rPr>
      <t>a</t>
    </r>
    <r>
      <rPr>
        <sz val="12"/>
        <color indexed="10"/>
        <rFont val="Arial"/>
        <family val="2"/>
      </rPr>
      <t xml:space="preserve"> =</t>
    </r>
  </si>
  <si>
    <r>
      <t>s</t>
    </r>
    <r>
      <rPr>
        <vertAlign val="subscript"/>
        <sz val="12"/>
        <rFont val="Arial"/>
        <family val="2"/>
      </rPr>
      <t>Hhe</t>
    </r>
  </si>
  <si>
    <r>
      <t>Rz</t>
    </r>
    <r>
      <rPr>
        <vertAlign val="subscript"/>
        <sz val="12"/>
        <rFont val="Arial"/>
        <family val="2"/>
      </rPr>
      <t>1</t>
    </r>
    <r>
      <rPr>
        <sz val="12"/>
        <rFont val="Arial"/>
        <family val="2"/>
      </rPr>
      <t xml:space="preserve"> =</t>
    </r>
  </si>
  <si>
    <r>
      <t>Rz</t>
    </r>
    <r>
      <rPr>
        <vertAlign val="subscript"/>
        <sz val="12"/>
        <rFont val="Arial"/>
        <family val="2"/>
      </rPr>
      <t>2</t>
    </r>
    <r>
      <rPr>
        <sz val="12"/>
        <rFont val="Arial"/>
        <family val="2"/>
      </rPr>
      <t xml:space="preserve"> =</t>
    </r>
  </si>
  <si>
    <r>
      <t>N</t>
    </r>
    <r>
      <rPr>
        <vertAlign val="subscript"/>
        <sz val="12"/>
        <rFont val="Arial"/>
        <family val="2"/>
      </rPr>
      <t>L</t>
    </r>
    <r>
      <rPr>
        <sz val="12"/>
        <rFont val="Arial"/>
        <family val="2"/>
      </rPr>
      <t xml:space="preserve"> &lt; 10</t>
    </r>
    <r>
      <rPr>
        <vertAlign val="superscript"/>
        <sz val="12"/>
        <rFont val="Arial"/>
        <family val="2"/>
      </rPr>
      <t>3</t>
    </r>
  </si>
  <si>
    <r>
      <t>3. 10</t>
    </r>
    <r>
      <rPr>
        <vertAlign val="superscript"/>
        <sz val="12"/>
        <rFont val="Arial"/>
        <family val="2"/>
      </rPr>
      <t>6</t>
    </r>
    <r>
      <rPr>
        <sz val="12"/>
        <rFont val="Arial"/>
        <family val="2"/>
      </rPr>
      <t xml:space="preserve"> &lt; N</t>
    </r>
    <r>
      <rPr>
        <vertAlign val="subscript"/>
        <sz val="12"/>
        <rFont val="Arial"/>
        <family val="2"/>
      </rPr>
      <t>L</t>
    </r>
  </si>
  <si>
    <r>
      <t>s</t>
    </r>
    <r>
      <rPr>
        <vertAlign val="subscript"/>
        <sz val="12"/>
        <color indexed="10"/>
        <rFont val="Arial"/>
        <family val="2"/>
      </rPr>
      <t>FG1</t>
    </r>
    <r>
      <rPr>
        <sz val="12"/>
        <color indexed="10"/>
        <rFont val="Arial"/>
        <family val="2"/>
      </rPr>
      <t xml:space="preserve"> =</t>
    </r>
  </si>
  <si>
    <r>
      <t>s</t>
    </r>
    <r>
      <rPr>
        <vertAlign val="subscript"/>
        <sz val="12"/>
        <color indexed="10"/>
        <rFont val="Arial"/>
        <family val="2"/>
      </rPr>
      <t>FG2</t>
    </r>
    <r>
      <rPr>
        <sz val="12"/>
        <color indexed="10"/>
        <rFont val="Arial"/>
        <family val="2"/>
      </rPr>
      <t xml:space="preserve"> =</t>
    </r>
  </si>
  <si>
    <r>
      <t>h</t>
    </r>
    <r>
      <rPr>
        <vertAlign val="subscript"/>
        <sz val="12"/>
        <color indexed="10"/>
        <rFont val="Arial"/>
        <family val="2"/>
      </rPr>
      <t>Fn2</t>
    </r>
    <r>
      <rPr>
        <sz val="12"/>
        <color indexed="10"/>
        <rFont val="Arial"/>
        <family val="2"/>
      </rPr>
      <t xml:space="preserve"> =</t>
    </r>
  </si>
  <si>
    <r>
      <t>h</t>
    </r>
    <r>
      <rPr>
        <vertAlign val="subscript"/>
        <sz val="12"/>
        <color indexed="10"/>
        <rFont val="Arial"/>
        <family val="2"/>
      </rPr>
      <t>Fn1</t>
    </r>
    <r>
      <rPr>
        <sz val="12"/>
        <color indexed="10"/>
        <rFont val="Arial"/>
        <family val="2"/>
      </rPr>
      <t xml:space="preserve"> =</t>
    </r>
  </si>
  <si>
    <r>
      <t>S</t>
    </r>
    <r>
      <rPr>
        <vertAlign val="subscript"/>
        <sz val="12"/>
        <color indexed="10"/>
        <rFont val="Arial"/>
        <family val="2"/>
      </rPr>
      <t>Fn1</t>
    </r>
    <r>
      <rPr>
        <sz val="12"/>
        <color indexed="10"/>
        <rFont val="Arial"/>
        <family val="2"/>
      </rPr>
      <t xml:space="preserve"> =</t>
    </r>
  </si>
  <si>
    <r>
      <t>S</t>
    </r>
    <r>
      <rPr>
        <vertAlign val="subscript"/>
        <sz val="12"/>
        <color indexed="10"/>
        <rFont val="Arial"/>
        <family val="2"/>
      </rPr>
      <t>Fn2</t>
    </r>
    <r>
      <rPr>
        <sz val="12"/>
        <color indexed="10"/>
        <rFont val="Arial"/>
        <family val="2"/>
      </rPr>
      <t xml:space="preserve"> =</t>
    </r>
  </si>
  <si>
    <r>
      <t>K</t>
    </r>
    <r>
      <rPr>
        <vertAlign val="subscript"/>
        <sz val="12"/>
        <color indexed="10"/>
        <rFont val="Arial"/>
        <family val="2"/>
      </rPr>
      <t>F</t>
    </r>
    <r>
      <rPr>
        <vertAlign val="subscript"/>
        <sz val="12"/>
        <color indexed="10"/>
        <rFont val="Symbol"/>
        <family val="1"/>
      </rPr>
      <t>a</t>
    </r>
    <r>
      <rPr>
        <vertAlign val="subscript"/>
        <sz val="12"/>
        <color indexed="10"/>
        <rFont val="Arial"/>
        <family val="2"/>
      </rPr>
      <t xml:space="preserve"> </t>
    </r>
    <r>
      <rPr>
        <sz val="12"/>
        <color indexed="10"/>
        <rFont val="Arial"/>
        <family val="2"/>
      </rPr>
      <t xml:space="preserve"> =</t>
    </r>
  </si>
  <si>
    <r>
      <t>K</t>
    </r>
    <r>
      <rPr>
        <vertAlign val="subscript"/>
        <sz val="12"/>
        <color indexed="10"/>
        <rFont val="Arial"/>
        <family val="2"/>
      </rPr>
      <t>H</t>
    </r>
    <r>
      <rPr>
        <vertAlign val="subscript"/>
        <sz val="12"/>
        <color indexed="10"/>
        <rFont val="Symbol"/>
        <family val="1"/>
      </rPr>
      <t>a</t>
    </r>
    <r>
      <rPr>
        <vertAlign val="subscript"/>
        <sz val="12"/>
        <color indexed="10"/>
        <rFont val="Arial"/>
        <family val="2"/>
      </rPr>
      <t xml:space="preserve"> </t>
    </r>
    <r>
      <rPr>
        <sz val="12"/>
        <color indexed="10"/>
        <rFont val="Arial"/>
        <family val="2"/>
      </rPr>
      <t xml:space="preserve"> =</t>
    </r>
  </si>
  <si>
    <r>
      <t>b</t>
    </r>
    <r>
      <rPr>
        <sz val="12"/>
        <rFont val="Arial"/>
        <family val="2"/>
      </rPr>
      <t xml:space="preserve"> =</t>
    </r>
  </si>
  <si>
    <r>
      <t>b</t>
    </r>
    <r>
      <rPr>
        <sz val="12"/>
        <color indexed="10"/>
        <rFont val="Arial"/>
        <family val="2"/>
      </rPr>
      <t xml:space="preserve"> = </t>
    </r>
  </si>
  <si>
    <r>
      <t>b</t>
    </r>
    <r>
      <rPr>
        <sz val="12"/>
        <rFont val="Arial"/>
        <family val="2"/>
      </rPr>
      <t xml:space="preserve"> = 0</t>
    </r>
  </si>
  <si>
    <r>
      <t>b</t>
    </r>
    <r>
      <rPr>
        <sz val="12"/>
        <rFont val="Arial"/>
        <family val="2"/>
      </rPr>
      <t xml:space="preserve"> &gt; 0</t>
    </r>
  </si>
  <si>
    <r>
      <t>Y</t>
    </r>
    <r>
      <rPr>
        <vertAlign val="subscript"/>
        <sz val="12"/>
        <color indexed="10"/>
        <rFont val="Symbol"/>
        <family val="1"/>
      </rPr>
      <t>e</t>
    </r>
    <r>
      <rPr>
        <sz val="12"/>
        <color indexed="10"/>
        <rFont val="Arial"/>
        <family val="2"/>
      </rPr>
      <t xml:space="preserve"> =</t>
    </r>
  </si>
  <si>
    <r>
      <t>Y</t>
    </r>
    <r>
      <rPr>
        <vertAlign val="subscript"/>
        <sz val="12"/>
        <color indexed="10"/>
        <rFont val="Symbol"/>
        <family val="1"/>
      </rPr>
      <t>b</t>
    </r>
    <r>
      <rPr>
        <sz val="12"/>
        <color indexed="10"/>
        <rFont val="Arial"/>
        <family val="2"/>
      </rPr>
      <t xml:space="preserve"> =</t>
    </r>
  </si>
  <si>
    <r>
      <t>y</t>
    </r>
    <r>
      <rPr>
        <vertAlign val="subscript"/>
        <sz val="12"/>
        <rFont val="Arial"/>
        <family val="2"/>
      </rPr>
      <t>b</t>
    </r>
    <r>
      <rPr>
        <sz val="12"/>
        <rFont val="Arial"/>
        <family val="2"/>
      </rPr>
      <t xml:space="preserve"> = 0,800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</si>
  <si>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0,550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</si>
  <si>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0,534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</si>
  <si>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0,400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</si>
  <si>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0,320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</si>
  <si>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0,265 F</t>
    </r>
    <r>
      <rPr>
        <vertAlign val="subscript"/>
        <sz val="12"/>
        <rFont val="Arial"/>
        <family val="2"/>
      </rPr>
      <t>bx</t>
    </r>
    <r>
      <rPr>
        <sz val="12"/>
        <rFont val="Arial"/>
        <family val="2"/>
      </rPr>
      <t xml:space="preserve"> &lt; y</t>
    </r>
    <r>
      <rPr>
        <vertAlign val="subscript"/>
        <sz val="12"/>
        <rFont val="Arial"/>
        <family val="2"/>
      </rPr>
      <t>bmax</t>
    </r>
  </si>
  <si>
    <r>
      <t>y</t>
    </r>
    <r>
      <rPr>
        <vertAlign val="subscript"/>
        <sz val="12"/>
        <rFont val="Arial"/>
        <family val="2"/>
      </rPr>
      <t>b</t>
    </r>
    <r>
      <rPr>
        <sz val="12"/>
        <rFont val="Arial"/>
        <family val="2"/>
      </rPr>
      <t xml:space="preserve"> = 0,150 F</t>
    </r>
    <r>
      <rPr>
        <vertAlign val="subscript"/>
        <sz val="12"/>
        <rFont val="Arial"/>
        <family val="2"/>
      </rPr>
      <t>bx</t>
    </r>
    <r>
      <rPr>
        <sz val="12"/>
        <rFont val="Arial"/>
        <family val="2"/>
      </rPr>
      <t xml:space="preserve"> &lt; y</t>
    </r>
    <r>
      <rPr>
        <vertAlign val="subscript"/>
        <sz val="12"/>
        <rFont val="Arial"/>
        <family val="2"/>
      </rPr>
      <t>bmax</t>
    </r>
  </si>
  <si>
    <t>5&lt; v &lt;10</t>
  </si>
  <si>
    <r>
      <t>Y</t>
    </r>
    <r>
      <rPr>
        <vertAlign val="subscript"/>
        <sz val="12"/>
        <rFont val="Arial"/>
        <family val="2"/>
      </rPr>
      <t>Fa1</t>
    </r>
  </si>
  <si>
    <r>
      <t>Z</t>
    </r>
    <r>
      <rPr>
        <vertAlign val="subscript"/>
        <sz val="12"/>
        <rFont val="Arial"/>
        <family val="2"/>
      </rPr>
      <t>R1</t>
    </r>
    <r>
      <rPr>
        <sz val="12"/>
        <rFont val="Arial"/>
        <family val="2"/>
      </rPr>
      <t xml:space="preserve"> =</t>
    </r>
  </si>
  <si>
    <r>
      <t>Z</t>
    </r>
    <r>
      <rPr>
        <vertAlign val="subscript"/>
        <sz val="12"/>
        <rFont val="Arial"/>
        <family val="2"/>
      </rPr>
      <t>R2</t>
    </r>
    <r>
      <rPr>
        <sz val="12"/>
        <rFont val="Arial"/>
        <family val="2"/>
      </rPr>
      <t xml:space="preserve"> =</t>
    </r>
  </si>
  <si>
    <r>
      <t>5.10</t>
    </r>
    <r>
      <rPr>
        <vertAlign val="superscript"/>
        <sz val="12"/>
        <rFont val="Arial"/>
        <family val="2"/>
      </rPr>
      <t>7</t>
    </r>
    <r>
      <rPr>
        <sz val="12"/>
        <rFont val="Arial"/>
        <family val="2"/>
      </rPr>
      <t xml:space="preserve"> &lt; N</t>
    </r>
    <r>
      <rPr>
        <vertAlign val="subscript"/>
        <sz val="12"/>
        <rFont val="Arial"/>
        <family val="2"/>
      </rPr>
      <t>L</t>
    </r>
  </si>
  <si>
    <r>
      <t>N</t>
    </r>
    <r>
      <rPr>
        <vertAlign val="subscript"/>
        <sz val="12"/>
        <rFont val="Arial"/>
        <family val="2"/>
      </rPr>
      <t>L</t>
    </r>
    <r>
      <rPr>
        <sz val="12"/>
        <rFont val="Arial"/>
        <family val="2"/>
      </rPr>
      <t xml:space="preserve"> &lt; 10</t>
    </r>
    <r>
      <rPr>
        <vertAlign val="superscript"/>
        <sz val="12"/>
        <rFont val="Arial"/>
        <family val="2"/>
      </rPr>
      <t>5</t>
    </r>
  </si>
  <si>
    <r>
      <t>K</t>
    </r>
    <r>
      <rPr>
        <vertAlign val="subscript"/>
        <sz val="12"/>
        <color indexed="10"/>
        <rFont val="Arial"/>
        <family val="2"/>
      </rPr>
      <t>F</t>
    </r>
    <r>
      <rPr>
        <vertAlign val="subscript"/>
        <sz val="12"/>
        <color indexed="10"/>
        <rFont val="Symbol"/>
        <family val="1"/>
      </rPr>
      <t>b</t>
    </r>
    <r>
      <rPr>
        <vertAlign val="subscript"/>
        <sz val="12"/>
        <color indexed="10"/>
        <rFont val="Arial"/>
        <family val="2"/>
      </rPr>
      <t>1</t>
    </r>
    <r>
      <rPr>
        <sz val="12"/>
        <color indexed="10"/>
        <rFont val="Arial"/>
        <family val="2"/>
      </rPr>
      <t xml:space="preserve"> =</t>
    </r>
  </si>
  <si>
    <r>
      <t>K</t>
    </r>
    <r>
      <rPr>
        <vertAlign val="subscript"/>
        <sz val="12"/>
        <color indexed="10"/>
        <rFont val="Arial"/>
        <family val="2"/>
      </rPr>
      <t>F</t>
    </r>
    <r>
      <rPr>
        <vertAlign val="subscript"/>
        <sz val="12"/>
        <color indexed="10"/>
        <rFont val="Symbol"/>
        <family val="1"/>
      </rPr>
      <t>b</t>
    </r>
    <r>
      <rPr>
        <vertAlign val="subscript"/>
        <sz val="12"/>
        <color indexed="10"/>
        <rFont val="Arial"/>
        <family val="2"/>
      </rPr>
      <t>2</t>
    </r>
    <r>
      <rPr>
        <sz val="12"/>
        <color indexed="10"/>
        <rFont val="Arial"/>
        <family val="2"/>
      </rPr>
      <t xml:space="preserve"> =</t>
    </r>
  </si>
  <si>
    <r>
      <t>F</t>
    </r>
    <r>
      <rPr>
        <vertAlign val="subscript"/>
        <sz val="12"/>
        <rFont val="Symbol"/>
        <family val="1"/>
      </rPr>
      <t>b</t>
    </r>
    <r>
      <rPr>
        <vertAlign val="subscript"/>
        <sz val="12"/>
        <rFont val="Arial"/>
        <family val="2"/>
      </rPr>
      <t>y1</t>
    </r>
    <r>
      <rPr>
        <sz val="12"/>
        <rFont val="Arial"/>
        <family val="2"/>
      </rPr>
      <t xml:space="preserve"> =</t>
    </r>
  </si>
  <si>
    <r>
      <t>F</t>
    </r>
    <r>
      <rPr>
        <vertAlign val="subscript"/>
        <sz val="12"/>
        <rFont val="Symbol"/>
        <family val="1"/>
      </rPr>
      <t>b</t>
    </r>
    <r>
      <rPr>
        <vertAlign val="subscript"/>
        <sz val="12"/>
        <rFont val="Arial"/>
        <family val="2"/>
      </rPr>
      <t>y</t>
    </r>
    <r>
      <rPr>
        <sz val="12"/>
        <rFont val="Arial"/>
        <family val="2"/>
      </rPr>
      <t xml:space="preserve"> =</t>
    </r>
  </si>
  <si>
    <r>
      <t>F</t>
    </r>
    <r>
      <rPr>
        <vertAlign val="subscript"/>
        <sz val="12"/>
        <rFont val="Symbol"/>
        <family val="1"/>
      </rPr>
      <t>b</t>
    </r>
    <r>
      <rPr>
        <vertAlign val="subscript"/>
        <sz val="12"/>
        <rFont val="Arial"/>
        <family val="2"/>
      </rPr>
      <t>x</t>
    </r>
    <r>
      <rPr>
        <sz val="12"/>
        <rFont val="Arial"/>
        <family val="2"/>
      </rPr>
      <t xml:space="preserve"> =</t>
    </r>
  </si>
  <si>
    <t>yb1 =</t>
  </si>
  <si>
    <t>yb2 =</t>
  </si>
  <si>
    <r>
      <t>f</t>
    </r>
    <r>
      <rPr>
        <vertAlign val="subscript"/>
        <sz val="12"/>
        <rFont val="Arial"/>
        <family val="2"/>
      </rPr>
      <t>sh</t>
    </r>
    <r>
      <rPr>
        <sz val="12"/>
        <rFont val="Arial"/>
        <family val="2"/>
      </rPr>
      <t xml:space="preserve"> </t>
    </r>
  </si>
  <si>
    <t>degeri tablosu</t>
  </si>
  <si>
    <t>&lt; 5</t>
  </si>
  <si>
    <t>10 &lt;</t>
  </si>
  <si>
    <r>
      <t>K</t>
    </r>
    <r>
      <rPr>
        <vertAlign val="subscript"/>
        <sz val="12"/>
        <rFont val="Arial"/>
        <family val="2"/>
      </rPr>
      <t>H</t>
    </r>
    <r>
      <rPr>
        <vertAlign val="subscript"/>
        <sz val="12"/>
        <rFont val="Symbol"/>
        <family val="1"/>
      </rPr>
      <t>b</t>
    </r>
  </si>
  <si>
    <r>
      <t>K</t>
    </r>
    <r>
      <rPr>
        <vertAlign val="subscript"/>
        <sz val="12"/>
        <rFont val="Arial"/>
        <family val="2"/>
      </rPr>
      <t>H</t>
    </r>
    <r>
      <rPr>
        <vertAlign val="subscript"/>
        <sz val="12"/>
        <rFont val="Symbol"/>
        <family val="1"/>
      </rPr>
      <t>b</t>
    </r>
    <r>
      <rPr>
        <sz val="12"/>
        <rFont val="Arial"/>
        <family val="2"/>
      </rPr>
      <t xml:space="preserve"> &gt; 2</t>
    </r>
  </si>
  <si>
    <r>
      <t>K</t>
    </r>
    <r>
      <rPr>
        <vertAlign val="subscript"/>
        <sz val="12"/>
        <rFont val="Arial"/>
        <family val="2"/>
      </rPr>
      <t>H</t>
    </r>
    <r>
      <rPr>
        <vertAlign val="subscript"/>
        <sz val="12"/>
        <rFont val="Symbol"/>
        <family val="1"/>
      </rPr>
      <t>b</t>
    </r>
    <r>
      <rPr>
        <sz val="12"/>
        <rFont val="Arial"/>
        <family val="2"/>
      </rPr>
      <t xml:space="preserve"> &lt; 2</t>
    </r>
  </si>
  <si>
    <r>
      <t>K</t>
    </r>
    <r>
      <rPr>
        <b/>
        <vertAlign val="subscript"/>
        <sz val="12"/>
        <rFont val="Arial"/>
        <family val="2"/>
      </rPr>
      <t>H</t>
    </r>
    <r>
      <rPr>
        <b/>
        <vertAlign val="subscript"/>
        <sz val="12"/>
        <rFont val="Symbol"/>
        <family val="1"/>
      </rPr>
      <t>b</t>
    </r>
    <r>
      <rPr>
        <b/>
        <vertAlign val="subscript"/>
        <sz val="12"/>
        <rFont val="Arial"/>
        <family val="2"/>
      </rPr>
      <t>1</t>
    </r>
    <r>
      <rPr>
        <b/>
        <sz val="12"/>
        <rFont val="Arial"/>
        <family val="2"/>
      </rPr>
      <t xml:space="preserve"> =</t>
    </r>
  </si>
  <si>
    <r>
      <t>K</t>
    </r>
    <r>
      <rPr>
        <b/>
        <vertAlign val="subscript"/>
        <sz val="12"/>
        <rFont val="Arial"/>
        <family val="2"/>
      </rPr>
      <t>H</t>
    </r>
    <r>
      <rPr>
        <b/>
        <vertAlign val="subscript"/>
        <sz val="12"/>
        <rFont val="Symbol"/>
        <family val="1"/>
      </rPr>
      <t>b</t>
    </r>
    <r>
      <rPr>
        <b/>
        <vertAlign val="subscript"/>
        <sz val="12"/>
        <rFont val="Arial"/>
        <family val="2"/>
      </rPr>
      <t>2</t>
    </r>
    <r>
      <rPr>
        <b/>
        <sz val="12"/>
        <rFont val="Arial"/>
        <family val="2"/>
      </rPr>
      <t xml:space="preserve"> =</t>
    </r>
  </si>
  <si>
    <r>
      <t>K</t>
    </r>
    <r>
      <rPr>
        <vertAlign val="subscript"/>
        <sz val="12"/>
        <rFont val="Arial"/>
        <family val="2"/>
      </rPr>
      <t>H</t>
    </r>
    <r>
      <rPr>
        <vertAlign val="subscript"/>
        <sz val="12"/>
        <rFont val="Symbol"/>
        <family val="1"/>
      </rPr>
      <t>b</t>
    </r>
    <r>
      <rPr>
        <sz val="12"/>
        <rFont val="Arial"/>
        <family val="2"/>
      </rPr>
      <t xml:space="preserve"> =</t>
    </r>
  </si>
  <si>
    <t>b/h =</t>
  </si>
  <si>
    <r>
      <t>Z</t>
    </r>
    <r>
      <rPr>
        <vertAlign val="subscript"/>
        <sz val="12"/>
        <color indexed="10"/>
        <rFont val="Symbol"/>
        <family val="1"/>
      </rPr>
      <t>b</t>
    </r>
    <r>
      <rPr>
        <sz val="12"/>
        <color indexed="10"/>
        <rFont val="Arial"/>
        <family val="2"/>
      </rPr>
      <t xml:space="preserve"> =</t>
    </r>
  </si>
  <si>
    <r>
      <t>Y</t>
    </r>
    <r>
      <rPr>
        <vertAlign val="subscript"/>
        <sz val="12"/>
        <color indexed="10"/>
        <rFont val="Symbol"/>
        <family val="1"/>
      </rPr>
      <t>d</t>
    </r>
    <r>
      <rPr>
        <vertAlign val="subscript"/>
        <sz val="12"/>
        <color indexed="10"/>
        <rFont val="Arial"/>
        <family val="2"/>
      </rPr>
      <t xml:space="preserve">relT </t>
    </r>
    <r>
      <rPr>
        <sz val="12"/>
        <color indexed="10"/>
        <rFont val="Arial"/>
        <family val="2"/>
      </rPr>
      <t>=</t>
    </r>
  </si>
  <si>
    <t>Nm</t>
  </si>
  <si>
    <r>
      <t>e</t>
    </r>
    <r>
      <rPr>
        <vertAlign val="subscript"/>
        <sz val="12"/>
        <color indexed="10"/>
        <rFont val="Symbol"/>
        <family val="1"/>
      </rPr>
      <t>b</t>
    </r>
    <r>
      <rPr>
        <sz val="12"/>
        <color indexed="10"/>
        <rFont val="Arial"/>
        <family val="2"/>
      </rPr>
      <t xml:space="preserve"> =</t>
    </r>
  </si>
  <si>
    <r>
      <t>mm</t>
    </r>
    <r>
      <rPr>
        <vertAlign val="superscript"/>
        <sz val="10"/>
        <rFont val="Arial"/>
        <family val="2"/>
      </rPr>
      <t>2</t>
    </r>
    <r>
      <rPr>
        <sz val="10"/>
        <rFont val="Arial"/>
        <family val="2"/>
      </rPr>
      <t>/s</t>
    </r>
  </si>
  <si>
    <t>42CrMo4</t>
  </si>
  <si>
    <t>-</t>
  </si>
  <si>
    <t>Genel</t>
  </si>
  <si>
    <t>Makina</t>
  </si>
  <si>
    <t>Copyright : M. G. Kutay , Ver 13.01</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</si>
</sst>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Red]&quot;Fr.&quot;\ \-#,##0"/>
    <numFmt numFmtId="165" formatCode="&quot;Fr.&quot;\ #,##0.00;[Red]&quot;Fr.&quot;\ \-#,##0.00"/>
    <numFmt numFmtId="166" formatCode="0.0"/>
    <numFmt numFmtId="167" formatCode="0.000"/>
    <numFmt numFmtId="168" formatCode="0.0000"/>
    <numFmt numFmtId="169" formatCode="0.00000"/>
    <numFmt numFmtId="170" formatCode="0&quot;)&quot;"/>
    <numFmt numFmtId="171" formatCode="General&quot; mm&quot;"/>
    <numFmt numFmtId="172" formatCode="0\ &quot; °&quot;"/>
    <numFmt numFmtId="173" formatCode="0&quot; mm&quot;"/>
    <numFmt numFmtId="174" formatCode="&quot;±&quot;0.0000&quot; mm&quot;"/>
    <numFmt numFmtId="175" formatCode="0.0&quot; µm&quot;\ "/>
    <numFmt numFmtId="176" formatCode="0.000000&quot; mm&quot;"/>
    <numFmt numFmtId="177" formatCode="0.0\ "/>
    <numFmt numFmtId="178" formatCode="0.000000&quot; °&quot;"/>
    <numFmt numFmtId="179" formatCode="0.000000"/>
    <numFmt numFmtId="180" formatCode="#0.00000\ "/>
    <numFmt numFmtId="181" formatCode="0.000&quot; mm&quot;"/>
    <numFmt numFmtId="182" formatCode="&quot;js &quot;0"/>
    <numFmt numFmtId="183" formatCode="#0.000"/>
    <numFmt numFmtId="184" formatCode="&quot;±&quot;0.0&quot; µm&quot;"/>
    <numFmt numFmtId="185" formatCode="0&quot; µm&quot;"/>
    <numFmt numFmtId="186" formatCode="&quot;0.&quot;0&quot;)&quot;"/>
    <numFmt numFmtId="187" formatCode="0.0000&quot; °&quot;"/>
    <numFmt numFmtId="188" formatCode="&quot;-&quot;000&quot; µm&quot;"/>
    <numFmt numFmtId="189" formatCode="000&quot; µm&quot;"/>
    <numFmt numFmtId="190" formatCode="#0.000000"/>
    <numFmt numFmtId="191" formatCode="0\ &quot;)&quot;"/>
    <numFmt numFmtId="192" formatCode="0.0\ &quot;N/mm2&quot;"/>
    <numFmt numFmtId="193" formatCode="&quot;DIN&quot;\ ##"/>
    <numFmt numFmtId="194" formatCode="#0.000000000"/>
    <numFmt numFmtId="195" formatCode="&quot;&lt; &quot;\ ##"/>
    <numFmt numFmtId="196" formatCode="&quot;&gt; &quot;\ ##"/>
  </numFmts>
  <fonts count="56">
    <font>
      <sz val="10"/>
      <name val="Arial"/>
      <family val="2"/>
    </font>
    <font>
      <b/>
      <sz val="10"/>
      <name val="MS Sans Serif"/>
      <family val="0"/>
    </font>
    <font>
      <i/>
      <sz val="10"/>
      <name val="MS Sans Serif"/>
      <family val="0"/>
    </font>
    <font>
      <b/>
      <i/>
      <sz val="10"/>
      <name val="MS Sans Serif"/>
      <family val="0"/>
    </font>
    <font>
      <sz val="10"/>
      <name val="MS Sans Serif"/>
      <family val="0"/>
    </font>
    <font>
      <sz val="10"/>
      <color indexed="10"/>
      <name val="MS Sans Serif"/>
      <family val="0"/>
    </font>
    <font>
      <sz val="9.5"/>
      <name val="MS Sans Serif"/>
      <family val="2"/>
    </font>
    <font>
      <sz val="10"/>
      <color indexed="10"/>
      <name val="Arial"/>
      <family val="2"/>
    </font>
    <font>
      <b/>
      <sz val="10"/>
      <color indexed="10"/>
      <name val="Arial"/>
      <family val="2"/>
    </font>
    <font>
      <sz val="10"/>
      <color indexed="17"/>
      <name val="Arial"/>
      <family val="2"/>
    </font>
    <font>
      <sz val="10"/>
      <color indexed="12"/>
      <name val="Arial"/>
      <family val="2"/>
    </font>
    <font>
      <b/>
      <sz val="10"/>
      <color indexed="12"/>
      <name val="Arial"/>
      <family val="2"/>
    </font>
    <font>
      <sz val="10"/>
      <name val="Symbol"/>
      <family val="1"/>
    </font>
    <font>
      <b/>
      <sz val="16"/>
      <color indexed="10"/>
      <name val="Arial"/>
      <family val="2"/>
    </font>
    <font>
      <b/>
      <sz val="10"/>
      <color indexed="56"/>
      <name val="Arial"/>
      <family val="2"/>
    </font>
    <font>
      <vertAlign val="subscript"/>
      <sz val="10"/>
      <name val="Arial"/>
      <family val="2"/>
    </font>
    <font>
      <sz val="12"/>
      <name val="Symbol"/>
      <family val="1"/>
    </font>
    <font>
      <vertAlign val="subscript"/>
      <sz val="12"/>
      <name val="Arial"/>
      <family val="2"/>
    </font>
    <font>
      <vertAlign val="subscript"/>
      <sz val="10"/>
      <name val="Symbol"/>
      <family val="1"/>
    </font>
    <font>
      <vertAlign val="superscript"/>
      <sz val="10"/>
      <name val="Arial"/>
      <family val="2"/>
    </font>
    <font>
      <sz val="12"/>
      <name val="Arial"/>
      <family val="2"/>
    </font>
    <font>
      <vertAlign val="subscript"/>
      <sz val="12"/>
      <name val="Symbol"/>
      <family val="1"/>
    </font>
    <font>
      <sz val="10"/>
      <color indexed="39"/>
      <name val="Arial"/>
      <family val="2"/>
    </font>
    <font>
      <u val="single"/>
      <sz val="8.5"/>
      <color indexed="12"/>
      <name val="Arial"/>
      <family val="2"/>
    </font>
    <font>
      <u val="single"/>
      <sz val="8.5"/>
      <color indexed="36"/>
      <name val="Arial"/>
      <family val="2"/>
    </font>
    <font>
      <b/>
      <sz val="12"/>
      <color indexed="10"/>
      <name val="Arial"/>
      <family val="2"/>
    </font>
    <font>
      <b/>
      <sz val="10"/>
      <color indexed="39"/>
      <name val="Arial"/>
      <family val="2"/>
    </font>
    <font>
      <b/>
      <sz val="12"/>
      <name val="Arial"/>
      <family val="2"/>
    </font>
    <font>
      <b/>
      <sz val="10"/>
      <color indexed="17"/>
      <name val="Arial"/>
      <family val="2"/>
    </font>
    <font>
      <b/>
      <sz val="10"/>
      <color indexed="17"/>
      <name val="MS Sans Serif"/>
      <family val="2"/>
    </font>
    <font>
      <sz val="10"/>
      <color indexed="39"/>
      <name val="MS Sans Serif"/>
      <family val="0"/>
    </font>
    <font>
      <b/>
      <sz val="18"/>
      <color indexed="10"/>
      <name val="Arial"/>
      <family val="2"/>
    </font>
    <font>
      <sz val="12"/>
      <name val="Times New Roman"/>
      <family val="1"/>
    </font>
    <font>
      <vertAlign val="subscript"/>
      <sz val="12"/>
      <name val="Times New Roman"/>
      <family val="1"/>
    </font>
    <font>
      <sz val="12"/>
      <color indexed="10"/>
      <name val="Symbol"/>
      <family val="1"/>
    </font>
    <font>
      <b/>
      <i/>
      <sz val="12"/>
      <color indexed="10"/>
      <name val="Arial Narrow"/>
      <family val="2"/>
    </font>
    <font>
      <vertAlign val="subscript"/>
      <sz val="12"/>
      <color indexed="10"/>
      <name val="Symbol"/>
      <family val="1"/>
    </font>
    <font>
      <b/>
      <sz val="10"/>
      <name val="Arial"/>
      <family val="2"/>
    </font>
    <font>
      <b/>
      <i/>
      <sz val="10"/>
      <color indexed="10"/>
      <name val="Arial"/>
      <family val="2"/>
    </font>
    <font>
      <b/>
      <sz val="12"/>
      <name val="Times New Roman"/>
      <family val="1"/>
    </font>
    <font>
      <sz val="14"/>
      <name val="Times New Roman"/>
      <family val="1"/>
    </font>
    <font>
      <sz val="14"/>
      <color indexed="10"/>
      <name val="Times New Roman"/>
      <family val="1"/>
    </font>
    <font>
      <sz val="12"/>
      <color indexed="10"/>
      <name val="Arial"/>
      <family val="2"/>
    </font>
    <font>
      <vertAlign val="subscript"/>
      <sz val="10"/>
      <color indexed="10"/>
      <name val="Arial"/>
      <family val="2"/>
    </font>
    <font>
      <sz val="12"/>
      <name val="MS Sans Serif"/>
      <family val="2"/>
    </font>
    <font>
      <b/>
      <sz val="12"/>
      <color indexed="39"/>
      <name val="Arial"/>
      <family val="2"/>
    </font>
    <font>
      <b/>
      <sz val="48"/>
      <color indexed="10"/>
      <name val="Arial"/>
      <family val="2"/>
    </font>
    <font>
      <b/>
      <sz val="12"/>
      <color indexed="10"/>
      <name val="MS Sans Serif"/>
      <family val="2"/>
    </font>
    <font>
      <sz val="12"/>
      <color indexed="10"/>
      <name val="MS Sans Serif"/>
      <family val="2"/>
    </font>
    <font>
      <sz val="12"/>
      <color indexed="12"/>
      <name val="Arial"/>
      <family val="2"/>
    </font>
    <font>
      <sz val="12"/>
      <color indexed="12"/>
      <name val="MS Sans Serif"/>
      <family val="2"/>
    </font>
    <font>
      <i/>
      <sz val="12"/>
      <color indexed="10"/>
      <name val="Arial"/>
      <family val="2"/>
    </font>
    <font>
      <vertAlign val="subscript"/>
      <sz val="12"/>
      <color indexed="10"/>
      <name val="Arial"/>
      <family val="2"/>
    </font>
    <font>
      <vertAlign val="superscript"/>
      <sz val="12"/>
      <name val="Arial"/>
      <family val="2"/>
    </font>
    <font>
      <b/>
      <vertAlign val="subscript"/>
      <sz val="12"/>
      <name val="Arial"/>
      <family val="2"/>
    </font>
    <font>
      <b/>
      <vertAlign val="subscript"/>
      <sz val="12"/>
      <name val="Symbol"/>
      <family val="1"/>
    </font>
  </fonts>
  <fills count="9">
    <fill>
      <patternFill/>
    </fill>
    <fill>
      <patternFill patternType="gray125"/>
    </fill>
    <fill>
      <patternFill patternType="lightGray">
        <fgColor indexed="13"/>
      </patternFill>
    </fill>
    <fill>
      <patternFill patternType="solid">
        <fgColor indexed="65"/>
        <bgColor indexed="64"/>
      </patternFill>
    </fill>
    <fill>
      <patternFill patternType="lightGray">
        <fgColor indexed="11"/>
      </patternFill>
    </fill>
    <fill>
      <patternFill patternType="lightGray">
        <fgColor indexed="15"/>
      </patternFill>
    </fill>
    <fill>
      <patternFill patternType="solid">
        <fgColor indexed="13"/>
        <bgColor indexed="64"/>
      </patternFill>
    </fill>
    <fill>
      <patternFill patternType="lightGray">
        <fgColor indexed="41"/>
      </patternFill>
    </fill>
    <fill>
      <patternFill patternType="lightGray">
        <fgColor indexed="13"/>
        <bgColor indexed="9"/>
      </patternFill>
    </fill>
  </fills>
  <borders count="106">
    <border>
      <left/>
      <right/>
      <top/>
      <bottom/>
      <diagonal/>
    </border>
    <border>
      <left style="thin"/>
      <right>
        <color indexed="63"/>
      </right>
      <top style="thin"/>
      <bottom>
        <color indexed="63"/>
      </bottom>
    </border>
    <border>
      <left>
        <color indexed="63"/>
      </left>
      <right>
        <color indexed="63"/>
      </right>
      <top style="thin"/>
      <bottom>
        <color indexed="63"/>
      </bottom>
    </border>
    <border>
      <left style="hair"/>
      <right style="thin"/>
      <top style="hair"/>
      <bottom style="thin"/>
    </border>
    <border>
      <left style="thin"/>
      <right>
        <color indexed="63"/>
      </right>
      <top style="hair"/>
      <bottom style="thin"/>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hair"/>
      <right style="thin"/>
      <top style="thin"/>
      <bottom>
        <color indexed="63"/>
      </bottom>
    </border>
    <border>
      <left style="hair"/>
      <right style="thin"/>
      <top style="hair"/>
      <bottom>
        <color indexed="63"/>
      </bottom>
    </border>
    <border>
      <left>
        <color indexed="63"/>
      </left>
      <right style="thin"/>
      <top style="hair"/>
      <bottom style="thin"/>
    </border>
    <border>
      <left style="hair"/>
      <right>
        <color indexed="63"/>
      </right>
      <top style="hair"/>
      <bottom>
        <color indexed="63"/>
      </bottom>
    </border>
    <border>
      <left>
        <color indexed="63"/>
      </left>
      <right>
        <color indexed="63"/>
      </right>
      <top>
        <color indexed="63"/>
      </top>
      <bottom style="thin"/>
    </border>
    <border>
      <left>
        <color indexed="63"/>
      </left>
      <right>
        <color indexed="63"/>
      </right>
      <top style="hair"/>
      <bottom style="thin"/>
    </border>
    <border>
      <left style="hair"/>
      <right>
        <color indexed="63"/>
      </right>
      <top style="hair"/>
      <bottom style="thin"/>
    </border>
    <border>
      <left style="thin"/>
      <right>
        <color indexed="63"/>
      </right>
      <top style="thin"/>
      <bottom style="hair"/>
    </border>
    <border>
      <left style="thin"/>
      <right>
        <color indexed="63"/>
      </right>
      <top style="hair"/>
      <bottom style="hair"/>
    </border>
    <border>
      <left style="hair"/>
      <right style="thin"/>
      <top style="thin"/>
      <bottom style="hair"/>
    </border>
    <border>
      <left>
        <color indexed="63"/>
      </left>
      <right>
        <color indexed="63"/>
      </right>
      <top style="thin"/>
      <bottom style="hair"/>
    </border>
    <border>
      <left style="hair"/>
      <right style="thin"/>
      <top style="hair"/>
      <bottom style="hair"/>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hair"/>
    </border>
    <border>
      <left style="thin"/>
      <right style="hair"/>
      <top style="hair"/>
      <bottom style="hair"/>
    </border>
    <border>
      <left>
        <color indexed="63"/>
      </left>
      <right style="thin"/>
      <top style="thin"/>
      <bottom style="hair"/>
    </border>
    <border>
      <left>
        <color indexed="63"/>
      </left>
      <right>
        <color indexed="63"/>
      </right>
      <top style="hair"/>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hair"/>
    </border>
    <border>
      <left>
        <color indexed="63"/>
      </left>
      <right style="hair"/>
      <top style="thin"/>
      <bottom style="hair"/>
    </border>
    <border>
      <left>
        <color indexed="63"/>
      </left>
      <right style="hair"/>
      <top style="hair"/>
      <bottom style="hair"/>
    </border>
    <border>
      <left style="thin"/>
      <right style="hair"/>
      <top style="hair"/>
      <bottom style="thin"/>
    </border>
    <border>
      <left>
        <color indexed="63"/>
      </left>
      <right style="thin"/>
      <top style="hair"/>
      <bottom style="hair"/>
    </border>
    <border>
      <left style="thin"/>
      <right style="thin"/>
      <top style="thin"/>
      <bottom>
        <color indexed="63"/>
      </bottom>
    </border>
    <border>
      <left>
        <color indexed="63"/>
      </left>
      <right style="hair"/>
      <top style="hair"/>
      <bottom style="thin"/>
    </border>
    <border>
      <left style="hair"/>
      <right>
        <color indexed="63"/>
      </right>
      <top style="thin"/>
      <bottom>
        <color indexed="63"/>
      </bottom>
    </border>
    <border>
      <left style="hair"/>
      <right style="thin"/>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style="hair"/>
      <right style="thin"/>
      <top>
        <color indexed="63"/>
      </top>
      <bottom style="thin"/>
    </border>
    <border>
      <left style="hair"/>
      <right style="thin"/>
      <top>
        <color indexed="63"/>
      </top>
      <bottom style="hair"/>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color indexed="63"/>
      </left>
      <right>
        <color indexed="63"/>
      </right>
      <top style="medium"/>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double">
        <color indexed="10"/>
      </right>
      <top style="double">
        <color indexed="10"/>
      </top>
      <bottom style="double">
        <color indexed="10"/>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color indexed="63"/>
      </left>
      <right>
        <color indexed="63"/>
      </right>
      <top style="double">
        <color indexed="10"/>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hair"/>
      <top style="hair"/>
      <bottom style="thin"/>
    </border>
    <border>
      <left style="hair"/>
      <right style="hair"/>
      <top style="hair"/>
      <bottom style="hair"/>
    </border>
    <border>
      <left style="hair"/>
      <right style="hair"/>
      <top style="thin"/>
      <bottom style="hair"/>
    </border>
    <border>
      <left>
        <color indexed="63"/>
      </left>
      <right style="hair"/>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23" fillId="0" borderId="0" applyNumberForma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cellStyleXfs>
  <cellXfs count="833">
    <xf numFmtId="0" fontId="0" fillId="0" borderId="0" xfId="0" applyAlignment="1">
      <alignment/>
    </xf>
    <xf numFmtId="0" fontId="0" fillId="0" borderId="0" xfId="0" applyAlignment="1" applyProtection="1">
      <alignment/>
      <protection hidden="1"/>
    </xf>
    <xf numFmtId="0" fontId="6" fillId="0" borderId="0" xfId="0" applyFont="1" applyAlignment="1" applyProtection="1">
      <alignment vertical="center"/>
      <protection hidden="1"/>
    </xf>
    <xf numFmtId="0" fontId="6" fillId="0" borderId="0" xfId="0" applyFont="1" applyAlignment="1" applyProtection="1">
      <alignment/>
      <protection hidden="1"/>
    </xf>
    <xf numFmtId="0" fontId="0" fillId="0" borderId="0" xfId="0" applyFont="1" applyAlignment="1" applyProtection="1">
      <alignment vertical="center"/>
      <protection hidden="1"/>
    </xf>
    <xf numFmtId="0" fontId="7" fillId="2" borderId="0" xfId="0" applyFont="1" applyFill="1" applyAlignment="1" applyProtection="1" quotePrefix="1">
      <alignment horizontal="left" vertical="center"/>
      <protection hidden="1"/>
    </xf>
    <xf numFmtId="0" fontId="7" fillId="0" borderId="0" xfId="0" applyFont="1" applyAlignment="1" applyProtection="1">
      <alignment vertical="center"/>
      <protection hidden="1"/>
    </xf>
    <xf numFmtId="0" fontId="0" fillId="0" borderId="1" xfId="0" applyFont="1" applyBorder="1" applyAlignment="1" applyProtection="1">
      <alignment vertical="center"/>
      <protection hidden="1"/>
    </xf>
    <xf numFmtId="0" fontId="7" fillId="0" borderId="0" xfId="0" applyFont="1" applyAlignment="1" applyProtection="1" quotePrefix="1">
      <alignment horizontal="left" vertical="center"/>
      <protection hidden="1"/>
    </xf>
    <xf numFmtId="0" fontId="0" fillId="0" borderId="2" xfId="0" applyFont="1" applyBorder="1" applyAlignment="1" applyProtection="1">
      <alignment vertical="center"/>
      <protection hidden="1"/>
    </xf>
    <xf numFmtId="167" fontId="7" fillId="0" borderId="3" xfId="0" applyNumberFormat="1"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186" fontId="9" fillId="0" borderId="0" xfId="0" applyNumberFormat="1" applyFont="1" applyAlignment="1" applyProtection="1" quotePrefix="1">
      <alignment horizontal="right" vertical="center"/>
      <protection hidden="1"/>
    </xf>
    <xf numFmtId="0" fontId="0" fillId="0" borderId="4" xfId="0" applyFont="1" applyBorder="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quotePrefix="1">
      <alignment horizontal="left" vertical="center"/>
      <protection hidden="1"/>
    </xf>
    <xf numFmtId="0" fontId="0" fillId="0" borderId="1"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6" xfId="0" applyFont="1" applyBorder="1" applyAlignment="1" applyProtection="1" quotePrefix="1">
      <alignment horizontal="left" vertical="center"/>
      <protection hidden="1"/>
    </xf>
    <xf numFmtId="0" fontId="0" fillId="0" borderId="7" xfId="0" applyFont="1" applyBorder="1" applyAlignment="1" applyProtection="1">
      <alignment vertical="center"/>
      <protection hidden="1"/>
    </xf>
    <xf numFmtId="0" fontId="0" fillId="0" borderId="4" xfId="0" applyFont="1" applyBorder="1" applyAlignment="1" applyProtection="1" quotePrefix="1">
      <alignment horizontal="left" vertical="center"/>
      <protection hidden="1"/>
    </xf>
    <xf numFmtId="0" fontId="0" fillId="0" borderId="2" xfId="0" applyFont="1" applyBorder="1" applyAlignment="1" applyProtection="1">
      <alignment vertical="center"/>
      <protection hidden="1"/>
    </xf>
    <xf numFmtId="0" fontId="0" fillId="0" borderId="6" xfId="0" applyFont="1" applyBorder="1" applyAlignment="1" applyProtection="1">
      <alignment vertical="center"/>
      <protection hidden="1"/>
    </xf>
    <xf numFmtId="0" fontId="0" fillId="0" borderId="8" xfId="0" applyFont="1" applyBorder="1" applyAlignment="1" applyProtection="1">
      <alignment vertical="center"/>
      <protection hidden="1"/>
    </xf>
    <xf numFmtId="0" fontId="7" fillId="3" borderId="0" xfId="0" applyFont="1" applyFill="1" applyBorder="1" applyAlignment="1" applyProtection="1" quotePrefix="1">
      <alignment horizontal="left" vertical="center"/>
      <protection hidden="1"/>
    </xf>
    <xf numFmtId="0" fontId="0" fillId="3" borderId="1" xfId="0" applyFont="1" applyFill="1" applyBorder="1" applyAlignment="1" applyProtection="1">
      <alignment vertical="center"/>
      <protection hidden="1"/>
    </xf>
    <xf numFmtId="0" fontId="0" fillId="3" borderId="9" xfId="0" applyFont="1" applyFill="1" applyBorder="1" applyAlignment="1" applyProtection="1">
      <alignment horizontal="left" vertical="center"/>
      <protection hidden="1"/>
    </xf>
    <xf numFmtId="1" fontId="7" fillId="2" borderId="1" xfId="0" applyNumberFormat="1" applyFont="1" applyFill="1" applyBorder="1" applyAlignment="1" applyProtection="1">
      <alignment horizontal="centerContinuous" vertical="center"/>
      <protection hidden="1"/>
    </xf>
    <xf numFmtId="1" fontId="7" fillId="2" borderId="10" xfId="0" applyNumberFormat="1" applyFont="1" applyFill="1" applyBorder="1" applyAlignment="1" applyProtection="1">
      <alignment horizontal="centerContinuous" vertical="center"/>
      <protection hidden="1"/>
    </xf>
    <xf numFmtId="0" fontId="0" fillId="3" borderId="6" xfId="0" applyFont="1" applyFill="1" applyBorder="1" applyAlignment="1" applyProtection="1">
      <alignment vertical="center"/>
      <protection hidden="1"/>
    </xf>
    <xf numFmtId="0" fontId="0" fillId="3" borderId="8" xfId="0" applyFont="1" applyFill="1" applyBorder="1" applyAlignment="1" applyProtection="1" quotePrefix="1">
      <alignment horizontal="left" vertical="center"/>
      <protection hidden="1"/>
    </xf>
    <xf numFmtId="171" fontId="7" fillId="2" borderId="6" xfId="0" applyNumberFormat="1" applyFont="1" applyFill="1" applyBorder="1" applyAlignment="1" applyProtection="1">
      <alignment horizontal="centerContinuous" vertical="center"/>
      <protection hidden="1"/>
    </xf>
    <xf numFmtId="2" fontId="7" fillId="2" borderId="8" xfId="0" applyNumberFormat="1" applyFont="1" applyFill="1" applyBorder="1" applyAlignment="1" applyProtection="1">
      <alignment horizontal="centerContinuous" vertical="center"/>
      <protection hidden="1"/>
    </xf>
    <xf numFmtId="1" fontId="7" fillId="2" borderId="8" xfId="0" applyNumberFormat="1" applyFont="1" applyFill="1" applyBorder="1" applyAlignment="1" applyProtection="1">
      <alignment horizontal="centerContinuous" vertical="center"/>
      <protection hidden="1"/>
    </xf>
    <xf numFmtId="173" fontId="7" fillId="2" borderId="6" xfId="0" applyNumberFormat="1" applyFont="1" applyFill="1" applyBorder="1" applyAlignment="1" applyProtection="1">
      <alignment horizontal="centerContinuous" vertical="center"/>
      <protection hidden="1"/>
    </xf>
    <xf numFmtId="173" fontId="7" fillId="2" borderId="11" xfId="0" applyNumberFormat="1" applyFont="1" applyFill="1" applyBorder="1" applyAlignment="1" applyProtection="1">
      <alignment horizontal="centerContinuous" vertical="center"/>
      <protection hidden="1"/>
    </xf>
    <xf numFmtId="187" fontId="7" fillId="2" borderId="6" xfId="0" applyNumberFormat="1" applyFont="1" applyFill="1" applyBorder="1" applyAlignment="1" applyProtection="1">
      <alignment horizontal="centerContinuous" vertical="center"/>
      <protection hidden="1"/>
    </xf>
    <xf numFmtId="168" fontId="7" fillId="2" borderId="8" xfId="0" applyNumberFormat="1" applyFont="1" applyFill="1" applyBorder="1" applyAlignment="1" applyProtection="1">
      <alignment horizontal="centerContinuous" vertical="center"/>
      <protection hidden="1"/>
    </xf>
    <xf numFmtId="0" fontId="0" fillId="3" borderId="8" xfId="0" applyFont="1" applyFill="1" applyBorder="1" applyAlignment="1" applyProtection="1">
      <alignment horizontal="left" vertical="center"/>
      <protection hidden="1"/>
    </xf>
    <xf numFmtId="0" fontId="7" fillId="2" borderId="6" xfId="0" applyFont="1" applyFill="1" applyBorder="1" applyAlignment="1" applyProtection="1">
      <alignment horizontal="centerContinuous" vertical="center"/>
      <protection hidden="1"/>
    </xf>
    <xf numFmtId="0" fontId="7" fillId="2" borderId="11" xfId="0" applyFont="1" applyFill="1" applyBorder="1" applyAlignment="1" applyProtection="1">
      <alignment horizontal="centerContinuous" vertical="center"/>
      <protection hidden="1"/>
    </xf>
    <xf numFmtId="0" fontId="0" fillId="3" borderId="6" xfId="0" applyFont="1" applyFill="1" applyBorder="1" applyAlignment="1" applyProtection="1" quotePrefix="1">
      <alignment horizontal="left" vertical="center"/>
      <protection hidden="1"/>
    </xf>
    <xf numFmtId="174" fontId="7" fillId="2" borderId="6" xfId="0" applyNumberFormat="1" applyFont="1" applyFill="1" applyBorder="1" applyAlignment="1" applyProtection="1">
      <alignment horizontal="centerContinuous" vertical="center"/>
      <protection hidden="1"/>
    </xf>
    <xf numFmtId="0" fontId="0" fillId="3" borderId="6" xfId="0" applyFont="1" applyFill="1" applyBorder="1" applyAlignment="1" applyProtection="1">
      <alignment horizontal="left" vertical="center"/>
      <protection hidden="1"/>
    </xf>
    <xf numFmtId="0" fontId="7" fillId="2" borderId="6" xfId="0" applyFont="1" applyFill="1" applyBorder="1" applyAlignment="1" applyProtection="1">
      <alignment horizontal="right" vertical="center"/>
      <protection hidden="1"/>
    </xf>
    <xf numFmtId="1" fontId="7" fillId="2" borderId="8" xfId="0" applyNumberFormat="1" applyFont="1" applyFill="1" applyBorder="1" applyAlignment="1" applyProtection="1">
      <alignment horizontal="left" vertical="center"/>
      <protection hidden="1"/>
    </xf>
    <xf numFmtId="175" fontId="7" fillId="2" borderId="6" xfId="0" applyNumberFormat="1" applyFont="1" applyFill="1" applyBorder="1" applyAlignment="1" applyProtection="1">
      <alignment horizontal="centerContinuous" vertical="center"/>
      <protection hidden="1"/>
    </xf>
    <xf numFmtId="175" fontId="7" fillId="2" borderId="11" xfId="0" applyNumberFormat="1" applyFont="1" applyFill="1" applyBorder="1" applyAlignment="1" applyProtection="1">
      <alignment horizontal="centerContinuous" vertical="center"/>
      <protection hidden="1"/>
    </xf>
    <xf numFmtId="0" fontId="0" fillId="3" borderId="4" xfId="0" applyFont="1" applyFill="1" applyBorder="1" applyAlignment="1" applyProtection="1" quotePrefix="1">
      <alignment horizontal="left" vertical="center"/>
      <protection hidden="1"/>
    </xf>
    <xf numFmtId="0" fontId="0" fillId="0" borderId="12" xfId="0" applyFont="1" applyBorder="1" applyAlignment="1" applyProtection="1">
      <alignment vertical="center"/>
      <protection hidden="1"/>
    </xf>
    <xf numFmtId="3" fontId="7" fillId="2" borderId="4" xfId="0" applyNumberFormat="1" applyFont="1" applyFill="1" applyBorder="1" applyAlignment="1" applyProtection="1">
      <alignment horizontal="centerContinuous" vertical="center"/>
      <protection hidden="1"/>
    </xf>
    <xf numFmtId="0" fontId="7" fillId="2" borderId="12" xfId="0" applyFont="1" applyFill="1" applyBorder="1" applyAlignment="1" applyProtection="1">
      <alignment horizontal="centerContinuous" vertical="center"/>
      <protection hidden="1"/>
    </xf>
    <xf numFmtId="0" fontId="7" fillId="0" borderId="0" xfId="0" applyFont="1" applyFill="1" applyBorder="1" applyAlignment="1" applyProtection="1" quotePrefix="1">
      <alignment horizontal="left" vertical="center"/>
      <protection hidden="1"/>
    </xf>
    <xf numFmtId="2" fontId="7" fillId="0" borderId="9" xfId="0" applyNumberFormat="1" applyFont="1" applyFill="1" applyBorder="1" applyAlignment="1" applyProtection="1">
      <alignment horizontal="centerContinuous" vertical="center"/>
      <protection hidden="1"/>
    </xf>
    <xf numFmtId="178" fontId="7" fillId="0" borderId="6" xfId="0" applyNumberFormat="1" applyFont="1" applyFill="1" applyBorder="1" applyAlignment="1" applyProtection="1">
      <alignment horizontal="centerContinuous" vertical="center"/>
      <protection hidden="1"/>
    </xf>
    <xf numFmtId="2" fontId="7" fillId="0" borderId="8" xfId="0" applyNumberFormat="1" applyFont="1" applyFill="1" applyBorder="1" applyAlignment="1" applyProtection="1">
      <alignment horizontal="centerContinuous" vertical="center"/>
      <protection hidden="1"/>
    </xf>
    <xf numFmtId="176" fontId="7" fillId="0" borderId="6" xfId="0" applyNumberFormat="1" applyFont="1" applyFill="1" applyBorder="1" applyAlignment="1" applyProtection="1">
      <alignment horizontal="centerContinuous" vertical="center"/>
      <protection hidden="1"/>
    </xf>
    <xf numFmtId="179" fontId="7" fillId="0" borderId="6" xfId="0" applyNumberFormat="1" applyFont="1" applyFill="1" applyBorder="1" applyAlignment="1" applyProtection="1">
      <alignment horizontal="centerContinuous" vertical="center"/>
      <protection hidden="1"/>
    </xf>
    <xf numFmtId="179" fontId="7" fillId="0" borderId="8" xfId="0" applyNumberFormat="1" applyFont="1" applyFill="1" applyBorder="1" applyAlignment="1" applyProtection="1">
      <alignment horizontal="centerContinuous" vertical="center"/>
      <protection hidden="1"/>
    </xf>
    <xf numFmtId="167" fontId="7" fillId="0" borderId="6" xfId="0" applyNumberFormat="1" applyFont="1" applyFill="1" applyBorder="1" applyAlignment="1" applyProtection="1">
      <alignment horizontal="centerContinuous" vertical="center"/>
      <protection hidden="1"/>
    </xf>
    <xf numFmtId="167" fontId="7" fillId="0" borderId="11" xfId="0" applyNumberFormat="1" applyFont="1" applyFill="1" applyBorder="1" applyAlignment="1" applyProtection="1">
      <alignment horizontal="centerContinuous" vertical="center"/>
      <protection hidden="1"/>
    </xf>
    <xf numFmtId="181" fontId="7" fillId="0" borderId="6" xfId="0" applyNumberFormat="1" applyFont="1" applyFill="1" applyBorder="1" applyAlignment="1" applyProtection="1">
      <alignment horizontal="centerContinuous" vertical="center"/>
      <protection hidden="1"/>
    </xf>
    <xf numFmtId="181" fontId="7" fillId="0" borderId="11" xfId="0" applyNumberFormat="1" applyFont="1" applyFill="1" applyBorder="1" applyAlignment="1" applyProtection="1">
      <alignment horizontal="centerContinuous" vertical="center"/>
      <protection hidden="1"/>
    </xf>
    <xf numFmtId="1" fontId="7" fillId="0" borderId="6" xfId="0" applyNumberFormat="1" applyFont="1" applyFill="1" applyBorder="1" applyAlignment="1" applyProtection="1">
      <alignment horizontal="centerContinuous" vertical="center"/>
      <protection hidden="1"/>
    </xf>
    <xf numFmtId="1" fontId="7" fillId="0" borderId="11" xfId="0" applyNumberFormat="1" applyFont="1" applyFill="1" applyBorder="1" applyAlignment="1" applyProtection="1">
      <alignment horizontal="centerContinuous" vertical="center"/>
      <protection hidden="1"/>
    </xf>
    <xf numFmtId="167" fontId="7" fillId="2" borderId="6" xfId="0" applyNumberFormat="1" applyFont="1" applyFill="1" applyBorder="1" applyAlignment="1" applyProtection="1">
      <alignment horizontal="centerContinuous" vertical="center"/>
      <protection hidden="1"/>
    </xf>
    <xf numFmtId="167" fontId="7" fillId="2" borderId="11" xfId="0" applyNumberFormat="1" applyFont="1" applyFill="1" applyBorder="1" applyAlignment="1" applyProtection="1">
      <alignment horizontal="centerContinuous" vertical="center"/>
      <protection hidden="1"/>
    </xf>
    <xf numFmtId="0" fontId="0" fillId="3" borderId="5" xfId="0" applyFont="1" applyFill="1" applyBorder="1" applyAlignment="1" applyProtection="1">
      <alignment vertical="center"/>
      <protection hidden="1"/>
    </xf>
    <xf numFmtId="0" fontId="0" fillId="3" borderId="4" xfId="0" applyFont="1" applyFill="1" applyBorder="1" applyAlignment="1" applyProtection="1">
      <alignment horizontal="left" vertical="center"/>
      <protection hidden="1"/>
    </xf>
    <xf numFmtId="167" fontId="7" fillId="0" borderId="4" xfId="0" applyNumberFormat="1" applyFont="1" applyFill="1" applyBorder="1" applyAlignment="1" applyProtection="1">
      <alignment horizontal="centerContinuous" vertical="center"/>
      <protection hidden="1"/>
    </xf>
    <xf numFmtId="167" fontId="7" fillId="0" borderId="12" xfId="0" applyNumberFormat="1" applyFont="1" applyFill="1" applyBorder="1" applyAlignment="1" applyProtection="1">
      <alignment horizontal="centerContinuous" vertical="center"/>
      <protection hidden="1"/>
    </xf>
    <xf numFmtId="0" fontId="0" fillId="0" borderId="0" xfId="0" applyFont="1" applyAlignment="1" applyProtection="1">
      <alignment horizontal="left" vertical="center"/>
      <protection hidden="1"/>
    </xf>
    <xf numFmtId="180" fontId="7" fillId="0" borderId="11" xfId="0" applyNumberFormat="1" applyFont="1" applyFill="1" applyBorder="1" applyAlignment="1" applyProtection="1">
      <alignment horizontal="centerContinuous" vertical="center"/>
      <protection hidden="1"/>
    </xf>
    <xf numFmtId="0" fontId="0" fillId="4" borderId="6" xfId="0" applyFont="1" applyFill="1" applyBorder="1" applyAlignment="1" applyProtection="1">
      <alignment vertical="center"/>
      <protection hidden="1"/>
    </xf>
    <xf numFmtId="0" fontId="0" fillId="4" borderId="13" xfId="0" applyFont="1" applyFill="1" applyBorder="1" applyAlignment="1" applyProtection="1">
      <alignment horizontal="centerContinuous" vertical="center"/>
      <protection hidden="1"/>
    </xf>
    <xf numFmtId="0" fontId="0" fillId="4" borderId="11" xfId="0" applyFont="1" applyFill="1" applyBorder="1" applyAlignment="1" applyProtection="1">
      <alignment horizontal="centerContinuous" vertical="center"/>
      <protection hidden="1"/>
    </xf>
    <xf numFmtId="0" fontId="0" fillId="0" borderId="6" xfId="0" applyFont="1" applyFill="1" applyBorder="1" applyAlignment="1" applyProtection="1">
      <alignment vertical="center"/>
      <protection hidden="1"/>
    </xf>
    <xf numFmtId="0" fontId="0" fillId="4" borderId="6" xfId="0" applyFont="1" applyFill="1" applyBorder="1" applyAlignment="1" applyProtection="1" quotePrefix="1">
      <alignment horizontal="centerContinuous" vertical="center"/>
      <protection hidden="1"/>
    </xf>
    <xf numFmtId="184" fontId="0" fillId="4" borderId="13" xfId="0" applyNumberFormat="1" applyFont="1" applyFill="1" applyBorder="1" applyAlignment="1" applyProtection="1">
      <alignment horizontal="centerContinuous" vertical="center"/>
      <protection hidden="1"/>
    </xf>
    <xf numFmtId="184" fontId="0" fillId="4" borderId="11" xfId="0" applyNumberFormat="1" applyFont="1" applyFill="1" applyBorder="1" applyAlignment="1" applyProtection="1">
      <alignment horizontal="centerContinuous" vertical="center"/>
      <protection hidden="1"/>
    </xf>
    <xf numFmtId="185" fontId="0" fillId="4" borderId="13" xfId="0" applyNumberFormat="1" applyFont="1" applyFill="1" applyBorder="1" applyAlignment="1" applyProtection="1">
      <alignment horizontal="centerContinuous" vertical="center"/>
      <protection hidden="1"/>
    </xf>
    <xf numFmtId="0" fontId="7" fillId="3" borderId="0"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0" fillId="4" borderId="7"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4"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0" fillId="0" borderId="0" xfId="0" applyFont="1" applyAlignment="1" applyProtection="1">
      <alignment horizontal="right" vertical="center"/>
      <protection hidden="1"/>
    </xf>
    <xf numFmtId="2" fontId="10" fillId="5" borderId="6" xfId="0" applyNumberFormat="1" applyFont="1" applyFill="1" applyBorder="1" applyAlignment="1" applyProtection="1">
      <alignment horizontal="centerContinuous" vertical="center"/>
      <protection locked="0"/>
    </xf>
    <xf numFmtId="0" fontId="0" fillId="0" borderId="0" xfId="0" applyAlignment="1" applyProtection="1">
      <alignment horizontal="center" vertical="center"/>
      <protection hidden="1"/>
    </xf>
    <xf numFmtId="0" fontId="0" fillId="4" borderId="13" xfId="0" applyFont="1" applyFill="1" applyBorder="1" applyAlignment="1" applyProtection="1">
      <alignment horizontal="center" vertical="center"/>
      <protection hidden="1"/>
    </xf>
    <xf numFmtId="185" fontId="0" fillId="4" borderId="13" xfId="0" applyNumberFormat="1" applyFont="1" applyFill="1" applyBorder="1" applyAlignment="1" applyProtection="1">
      <alignment horizontal="center" vertical="center"/>
      <protection hidden="1"/>
    </xf>
    <xf numFmtId="185" fontId="0" fillId="4" borderId="11" xfId="0" applyNumberFormat="1"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0" fillId="0" borderId="4"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6" xfId="0" applyFont="1" applyFill="1" applyBorder="1" applyAlignment="1" applyProtection="1" quotePrefix="1">
      <alignment horizontal="left"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quotePrefix="1">
      <alignment horizontal="centerContinuous" vertical="center"/>
      <protection hidden="1"/>
    </xf>
    <xf numFmtId="184" fontId="0" fillId="0" borderId="13" xfId="0" applyNumberFormat="1" applyFont="1" applyFill="1" applyBorder="1" applyAlignment="1" applyProtection="1">
      <alignment horizontal="centerContinuous" vertical="center"/>
      <protection hidden="1"/>
    </xf>
    <xf numFmtId="184" fontId="0" fillId="0" borderId="11" xfId="0" applyNumberFormat="1" applyFont="1" applyFill="1" applyBorder="1" applyAlignment="1" applyProtection="1">
      <alignment horizontal="centerContinuous" vertical="center"/>
      <protection hidden="1"/>
    </xf>
    <xf numFmtId="0" fontId="0" fillId="0" borderId="6" xfId="0" applyFont="1" applyFill="1" applyBorder="1" applyAlignment="1" applyProtection="1">
      <alignment horizontal="centerContinuous" vertical="center"/>
      <protection hidden="1"/>
    </xf>
    <xf numFmtId="185" fontId="0" fillId="0" borderId="13" xfId="0" applyNumberFormat="1" applyFont="1" applyFill="1" applyBorder="1" applyAlignment="1" applyProtection="1">
      <alignment horizontal="centerContinuous" vertical="center"/>
      <protection hidden="1"/>
    </xf>
    <xf numFmtId="185" fontId="0" fillId="0" borderId="13" xfId="0" applyNumberFormat="1" applyFont="1" applyFill="1" applyBorder="1" applyAlignment="1" applyProtection="1">
      <alignment horizontal="center" vertical="center"/>
      <protection hidden="1"/>
    </xf>
    <xf numFmtId="185" fontId="0" fillId="0" borderId="11" xfId="0" applyNumberFormat="1" applyFont="1" applyFill="1" applyBorder="1" applyAlignment="1" applyProtection="1">
      <alignment horizontal="center" vertical="center"/>
      <protection hidden="1"/>
    </xf>
    <xf numFmtId="0" fontId="0" fillId="4" borderId="4" xfId="0" applyFont="1" applyFill="1" applyBorder="1" applyAlignment="1" applyProtection="1" quotePrefix="1">
      <alignment horizontal="centerContinuous" vertical="center"/>
      <protection hidden="1"/>
    </xf>
    <xf numFmtId="184" fontId="0" fillId="4" borderId="16" xfId="0" applyNumberFormat="1" applyFont="1" applyFill="1" applyBorder="1" applyAlignment="1" applyProtection="1">
      <alignment horizontal="centerContinuous" vertical="center"/>
      <protection hidden="1"/>
    </xf>
    <xf numFmtId="184" fontId="0" fillId="4" borderId="3" xfId="0" applyNumberFormat="1" applyFont="1" applyFill="1" applyBorder="1" applyAlignment="1" applyProtection="1">
      <alignment horizontal="centerContinuous" vertical="center"/>
      <protection hidden="1"/>
    </xf>
    <xf numFmtId="0" fontId="0" fillId="4" borderId="11" xfId="0" applyFont="1" applyFill="1" applyBorder="1" applyAlignment="1" applyProtection="1">
      <alignment horizontal="center" vertical="center"/>
      <protection hidden="1"/>
    </xf>
    <xf numFmtId="185" fontId="0" fillId="4" borderId="16" xfId="0" applyNumberFormat="1" applyFont="1" applyFill="1" applyBorder="1" applyAlignment="1" applyProtection="1">
      <alignment horizontal="centerContinuous" vertical="center"/>
      <protection hidden="1"/>
    </xf>
    <xf numFmtId="185" fontId="0" fillId="4" borderId="16" xfId="0" applyNumberFormat="1" applyFont="1" applyFill="1" applyBorder="1" applyAlignment="1" applyProtection="1">
      <alignment horizontal="center" vertical="center"/>
      <protection hidden="1"/>
    </xf>
    <xf numFmtId="185" fontId="0" fillId="4" borderId="3" xfId="0" applyNumberFormat="1" applyFont="1" applyFill="1" applyBorder="1" applyAlignment="1" applyProtection="1">
      <alignment horizontal="center" vertical="center"/>
      <protection hidden="1"/>
    </xf>
    <xf numFmtId="1" fontId="0" fillId="4" borderId="13" xfId="0" applyNumberFormat="1" applyFont="1" applyFill="1" applyBorder="1" applyAlignment="1" applyProtection="1">
      <alignment horizontal="centerContinuous" vertical="center"/>
      <protection hidden="1"/>
    </xf>
    <xf numFmtId="1" fontId="0" fillId="4" borderId="13" xfId="0" applyNumberFormat="1" applyFont="1" applyFill="1" applyBorder="1" applyAlignment="1" applyProtection="1">
      <alignment horizontal="center" vertical="center"/>
      <protection hidden="1"/>
    </xf>
    <xf numFmtId="1" fontId="0" fillId="4" borderId="11"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190" fontId="7" fillId="0" borderId="11" xfId="0" applyNumberFormat="1" applyFont="1" applyFill="1" applyBorder="1" applyAlignment="1" applyProtection="1">
      <alignment horizontal="centerContinuous" vertical="center"/>
      <protection hidden="1"/>
    </xf>
    <xf numFmtId="168" fontId="7" fillId="0" borderId="6" xfId="0" applyNumberFormat="1" applyFont="1" applyFill="1" applyBorder="1" applyAlignment="1" applyProtection="1">
      <alignment horizontal="centerContinuous" vertical="center"/>
      <protection hidden="1"/>
    </xf>
    <xf numFmtId="0" fontId="0" fillId="0" borderId="17" xfId="0" applyFont="1" applyBorder="1" applyAlignment="1" applyProtection="1">
      <alignment vertical="center"/>
      <protection hidden="1"/>
    </xf>
    <xf numFmtId="0" fontId="0" fillId="0" borderId="18" xfId="0" applyFont="1" applyBorder="1" applyAlignment="1" applyProtection="1">
      <alignment vertical="center"/>
      <protection hidden="1"/>
    </xf>
    <xf numFmtId="1" fontId="7" fillId="0" borderId="19" xfId="0" applyNumberFormat="1" applyFont="1" applyFill="1" applyBorder="1" applyAlignment="1" applyProtection="1">
      <alignment horizontal="centerContinuous" vertical="center"/>
      <protection hidden="1"/>
    </xf>
    <xf numFmtId="0" fontId="0" fillId="0" borderId="20" xfId="0" applyFont="1" applyBorder="1" applyAlignment="1" applyProtection="1">
      <alignment horizontal="center" vertical="center"/>
      <protection hidden="1"/>
    </xf>
    <xf numFmtId="1" fontId="7" fillId="2" borderId="19" xfId="0" applyNumberFormat="1" applyFont="1" applyFill="1" applyBorder="1" applyAlignment="1" applyProtection="1">
      <alignment horizontal="centerContinuous" vertical="center"/>
      <protection hidden="1"/>
    </xf>
    <xf numFmtId="1" fontId="7" fillId="2" borderId="21" xfId="0" applyNumberFormat="1" applyFont="1" applyFill="1" applyBorder="1" applyAlignment="1" applyProtection="1">
      <alignment horizontal="centerContinuous" vertical="center"/>
      <protection hidden="1"/>
    </xf>
    <xf numFmtId="1" fontId="8" fillId="4" borderId="19" xfId="0" applyNumberFormat="1" applyFont="1" applyFill="1" applyBorder="1" applyAlignment="1" applyProtection="1">
      <alignment horizontal="centerContinuous" vertical="center"/>
      <protection hidden="1"/>
    </xf>
    <xf numFmtId="1" fontId="8" fillId="4" borderId="22" xfId="0" applyNumberFormat="1" applyFont="1" applyFill="1" applyBorder="1" applyAlignment="1" applyProtection="1">
      <alignment horizontal="centerContinuous" vertical="center"/>
      <protection hidden="1"/>
    </xf>
    <xf numFmtId="167" fontId="7" fillId="2" borderId="23" xfId="0" applyNumberFormat="1" applyFont="1" applyFill="1" applyBorder="1" applyAlignment="1" applyProtection="1">
      <alignment horizontal="centerContinuous" vertical="center"/>
      <protection hidden="1"/>
    </xf>
    <xf numFmtId="167" fontId="7" fillId="2" borderId="22" xfId="0" applyNumberFormat="1" applyFont="1" applyFill="1" applyBorder="1" applyAlignment="1" applyProtection="1">
      <alignment horizontal="centerContinuous" vertical="center"/>
      <protection hidden="1"/>
    </xf>
    <xf numFmtId="166" fontId="7" fillId="2" borderId="24" xfId="0" applyNumberFormat="1" applyFont="1" applyFill="1" applyBorder="1" applyAlignment="1" applyProtection="1">
      <alignment horizontal="centerContinuous" vertical="center"/>
      <protection hidden="1"/>
    </xf>
    <xf numFmtId="1" fontId="7" fillId="2" borderId="25" xfId="0" applyNumberFormat="1" applyFont="1" applyFill="1" applyBorder="1" applyAlignment="1" applyProtection="1">
      <alignment horizontal="centerContinuous" vertical="center"/>
      <protection hidden="1"/>
    </xf>
    <xf numFmtId="1" fontId="7" fillId="2" borderId="26" xfId="0" applyNumberFormat="1" applyFont="1" applyFill="1" applyBorder="1" applyAlignment="1" applyProtection="1">
      <alignment horizontal="centerContinuous" vertical="center"/>
      <protection hidden="1"/>
    </xf>
    <xf numFmtId="1" fontId="7" fillId="0" borderId="25" xfId="0" applyNumberFormat="1" applyFont="1" applyFill="1" applyBorder="1" applyAlignment="1" applyProtection="1">
      <alignment horizontal="centerContinuous" vertical="center"/>
      <protection hidden="1"/>
    </xf>
    <xf numFmtId="1" fontId="8" fillId="4" borderId="25" xfId="0" applyNumberFormat="1" applyFont="1" applyFill="1" applyBorder="1" applyAlignment="1" applyProtection="1">
      <alignment horizontal="centerContinuous" vertical="center"/>
      <protection hidden="1"/>
    </xf>
    <xf numFmtId="0" fontId="0" fillId="0" borderId="18" xfId="0" applyFont="1" applyBorder="1" applyAlignment="1" applyProtection="1">
      <alignment vertical="center"/>
      <protection hidden="1"/>
    </xf>
    <xf numFmtId="1" fontId="8" fillId="2" borderId="22" xfId="0" applyNumberFormat="1" applyFont="1" applyFill="1" applyBorder="1" applyAlignment="1" applyProtection="1">
      <alignment horizontal="centerContinuous" vertical="center"/>
      <protection hidden="1"/>
    </xf>
    <xf numFmtId="3" fontId="8" fillId="4" borderId="25" xfId="0" applyNumberFormat="1" applyFont="1" applyFill="1" applyBorder="1" applyAlignment="1" applyProtection="1">
      <alignment horizontal="centerContinuous" vertical="center"/>
      <protection hidden="1"/>
    </xf>
    <xf numFmtId="3" fontId="8" fillId="4" borderId="19" xfId="0" applyNumberFormat="1" applyFont="1" applyFill="1" applyBorder="1" applyAlignment="1" applyProtection="1">
      <alignment horizontal="centerContinuous" vertical="center"/>
      <protection hidden="1"/>
    </xf>
    <xf numFmtId="0" fontId="0" fillId="0" borderId="0" xfId="0" applyFont="1" applyAlignment="1" applyProtection="1">
      <alignment vertical="center"/>
      <protection hidden="1"/>
    </xf>
    <xf numFmtId="0" fontId="12" fillId="3" borderId="8" xfId="0" applyFont="1" applyFill="1" applyBorder="1" applyAlignment="1" applyProtection="1" quotePrefix="1">
      <alignment horizontal="left" vertical="center"/>
      <protection hidden="1"/>
    </xf>
    <xf numFmtId="0" fontId="0" fillId="0" borderId="27"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26" fillId="0" borderId="0" xfId="0" applyFont="1" applyAlignment="1" applyProtection="1">
      <alignment vertical="center"/>
      <protection hidden="1"/>
    </xf>
    <xf numFmtId="0" fontId="20" fillId="0" borderId="0" xfId="0" applyFont="1" applyAlignment="1" applyProtection="1">
      <alignment horizontal="left" vertical="center"/>
      <protection hidden="1"/>
    </xf>
    <xf numFmtId="0" fontId="25" fillId="0" borderId="0" xfId="0" applyFont="1" applyAlignment="1" applyProtection="1">
      <alignment/>
      <protection hidden="1"/>
    </xf>
    <xf numFmtId="191" fontId="27" fillId="0" borderId="0" xfId="0" applyNumberFormat="1" applyFont="1" applyAlignment="1" applyProtection="1">
      <alignment horizontal="right" vertical="top"/>
      <protection hidden="1"/>
    </xf>
    <xf numFmtId="0" fontId="0" fillId="0" borderId="18" xfId="0" applyFont="1" applyBorder="1" applyAlignment="1" applyProtection="1" quotePrefix="1">
      <alignment horizontal="lef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18" xfId="0" applyFont="1" applyBorder="1" applyAlignment="1" applyProtection="1" quotePrefix="1">
      <alignment horizontal="left" vertical="center"/>
      <protection hidden="1"/>
    </xf>
    <xf numFmtId="0" fontId="0" fillId="0" borderId="28" xfId="0" applyFont="1" applyBorder="1" applyAlignment="1" applyProtection="1">
      <alignment horizontal="left" vertical="center"/>
      <protection hidden="1"/>
    </xf>
    <xf numFmtId="0" fontId="0" fillId="0" borderId="28" xfId="0" applyFont="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29" xfId="0" applyFont="1" applyBorder="1" applyAlignment="1" applyProtection="1" quotePrefix="1">
      <alignment horizontal="left" vertical="center"/>
      <protection hidden="1"/>
    </xf>
    <xf numFmtId="0" fontId="0" fillId="0" borderId="18" xfId="0" applyFont="1" applyBorder="1" applyAlignment="1" applyProtection="1" quotePrefix="1">
      <alignment horizontal="left" vertical="center"/>
      <protection hidden="1"/>
    </xf>
    <xf numFmtId="0" fontId="0" fillId="0" borderId="6" xfId="0" applyFont="1" applyBorder="1" applyAlignment="1" applyProtection="1" quotePrefix="1">
      <alignment horizontal="left" vertical="center"/>
      <protection hidden="1"/>
    </xf>
    <xf numFmtId="0" fontId="0" fillId="3" borderId="29" xfId="0" applyFont="1" applyFill="1" applyBorder="1" applyAlignment="1" applyProtection="1" quotePrefix="1">
      <alignment horizontal="left" vertical="center"/>
      <protection hidden="1"/>
    </xf>
    <xf numFmtId="0" fontId="0" fillId="3" borderId="18" xfId="0" applyFont="1" applyFill="1" applyBorder="1" applyAlignment="1" applyProtection="1" quotePrefix="1">
      <alignment horizontal="left" vertical="center"/>
      <protection hidden="1"/>
    </xf>
    <xf numFmtId="0" fontId="0" fillId="0" borderId="28"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4" xfId="0" applyFont="1" applyBorder="1" applyAlignment="1" applyProtection="1">
      <alignment horizontal="left" vertical="center"/>
      <protection hidden="1"/>
    </xf>
    <xf numFmtId="0" fontId="0" fillId="0" borderId="1" xfId="0" applyFont="1" applyBorder="1" applyAlignment="1" applyProtection="1">
      <alignment horizontal="left" vertical="center"/>
      <protection hidden="1"/>
    </xf>
    <xf numFmtId="0" fontId="0" fillId="0" borderId="29" xfId="0" applyFont="1" applyBorder="1" applyAlignment="1" applyProtection="1">
      <alignment horizontal="left" vertical="center"/>
      <protection hidden="1"/>
    </xf>
    <xf numFmtId="0" fontId="0" fillId="0" borderId="18" xfId="0" applyFont="1" applyBorder="1" applyAlignment="1" applyProtection="1">
      <alignment horizontal="left" vertical="center"/>
      <protection hidden="1"/>
    </xf>
    <xf numFmtId="0" fontId="0" fillId="0" borderId="0" xfId="0" applyAlignment="1" applyProtection="1">
      <alignment/>
      <protection hidden="1"/>
    </xf>
    <xf numFmtId="2" fontId="8" fillId="4" borderId="25" xfId="0" applyNumberFormat="1" applyFont="1" applyFill="1" applyBorder="1" applyAlignment="1" applyProtection="1">
      <alignment horizontal="centerContinuous" vertical="center"/>
      <protection hidden="1"/>
    </xf>
    <xf numFmtId="2" fontId="8" fillId="4" borderId="19" xfId="0" applyNumberFormat="1" applyFont="1" applyFill="1" applyBorder="1" applyAlignment="1" applyProtection="1">
      <alignment horizontal="centerContinuous" vertical="center"/>
      <protection hidden="1"/>
    </xf>
    <xf numFmtId="0" fontId="0" fillId="0" borderId="0" xfId="0" applyFont="1" applyBorder="1" applyAlignment="1" applyProtection="1">
      <alignment horizontal="center" vertical="center"/>
      <protection hidden="1"/>
    </xf>
    <xf numFmtId="0" fontId="0" fillId="0" borderId="5" xfId="0" applyFont="1" applyBorder="1" applyAlignment="1" applyProtection="1">
      <alignment horizontal="left" vertical="center"/>
      <protection hidden="1"/>
    </xf>
    <xf numFmtId="0" fontId="0" fillId="0" borderId="30"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0" fillId="0" borderId="28" xfId="0" applyFont="1" applyBorder="1" applyAlignment="1" applyProtection="1">
      <alignment vertical="center"/>
      <protection hidden="1"/>
    </xf>
    <xf numFmtId="0" fontId="0" fillId="3" borderId="18" xfId="0" applyFont="1" applyFill="1" applyBorder="1" applyAlignment="1" applyProtection="1" quotePrefix="1">
      <alignment horizontal="left" vertical="center"/>
      <protection hidden="1"/>
    </xf>
    <xf numFmtId="0" fontId="8" fillId="0" borderId="18" xfId="0" applyFont="1" applyBorder="1" applyAlignment="1" applyProtection="1">
      <alignment vertical="center"/>
      <protection hidden="1"/>
    </xf>
    <xf numFmtId="0" fontId="0" fillId="0" borderId="31" xfId="0" applyFont="1" applyBorder="1" applyAlignment="1" applyProtection="1">
      <alignment vertical="center"/>
      <protection hidden="1"/>
    </xf>
    <xf numFmtId="0" fontId="0" fillId="0" borderId="7" xfId="0" applyFont="1" applyBorder="1" applyAlignment="1" applyProtection="1">
      <alignment vertical="center"/>
      <protection hidden="1"/>
    </xf>
    <xf numFmtId="0" fontId="0" fillId="0" borderId="6" xfId="0" applyFont="1" applyBorder="1" applyAlignment="1" applyProtection="1">
      <alignment horizontal="left" vertical="center"/>
      <protection hidden="1"/>
    </xf>
    <xf numFmtId="0" fontId="0" fillId="0" borderId="31" xfId="0" applyFont="1" applyBorder="1" applyAlignment="1" applyProtection="1">
      <alignment vertical="center"/>
      <protection hidden="1"/>
    </xf>
    <xf numFmtId="0" fontId="12" fillId="0" borderId="7" xfId="0" applyFont="1" applyBorder="1" applyAlignment="1" applyProtection="1">
      <alignment horizontal="left" vertical="center"/>
      <protection hidden="1"/>
    </xf>
    <xf numFmtId="0" fontId="12" fillId="0" borderId="29" xfId="0" applyFont="1" applyBorder="1" applyAlignment="1" applyProtection="1">
      <alignment horizontal="left" vertical="center"/>
      <protection hidden="1"/>
    </xf>
    <xf numFmtId="0" fontId="0" fillId="0" borderId="32" xfId="0" applyFont="1" applyBorder="1" applyAlignment="1" applyProtection="1">
      <alignment horizontal="left" vertical="center"/>
      <protection hidden="1"/>
    </xf>
    <xf numFmtId="0" fontId="0" fillId="0" borderId="19" xfId="0" applyFont="1" applyBorder="1" applyAlignment="1" applyProtection="1">
      <alignment horizontal="center" vertical="center"/>
      <protection hidden="1"/>
    </xf>
    <xf numFmtId="0" fontId="0" fillId="0" borderId="33" xfId="0" applyFont="1" applyBorder="1" applyAlignment="1" applyProtection="1">
      <alignment horizontal="left" vertical="center"/>
      <protection hidden="1"/>
    </xf>
    <xf numFmtId="0" fontId="0" fillId="0" borderId="21" xfId="0" applyFont="1" applyBorder="1" applyAlignment="1" applyProtection="1">
      <alignment horizontal="center" vertical="center"/>
      <protection hidden="1"/>
    </xf>
    <xf numFmtId="0" fontId="0" fillId="0" borderId="33" xfId="0" applyFont="1" applyBorder="1" applyAlignment="1" applyProtection="1">
      <alignment horizontal="left" vertical="center"/>
      <protection hidden="1"/>
    </xf>
    <xf numFmtId="0" fontId="0" fillId="0" borderId="21" xfId="0" applyFont="1" applyBorder="1" applyAlignment="1" applyProtection="1">
      <alignment horizontal="center" vertical="center"/>
      <protection hidden="1"/>
    </xf>
    <xf numFmtId="0" fontId="0" fillId="0" borderId="33" xfId="0" applyFont="1" applyBorder="1" applyAlignment="1" applyProtection="1">
      <alignment horizontal="left" vertical="center"/>
      <protection hidden="1"/>
    </xf>
    <xf numFmtId="0" fontId="0" fillId="0" borderId="21" xfId="0" applyFont="1" applyBorder="1" applyAlignment="1" applyProtection="1">
      <alignment horizontal="center" vertical="center"/>
      <protection hidden="1"/>
    </xf>
    <xf numFmtId="0" fontId="12" fillId="0" borderId="33" xfId="0" applyFont="1" applyBorder="1" applyAlignment="1" applyProtection="1">
      <alignment horizontal="left" vertical="center"/>
      <protection hidden="1"/>
    </xf>
    <xf numFmtId="0" fontId="12" fillId="0" borderId="21" xfId="0" applyFont="1" applyBorder="1" applyAlignment="1" applyProtection="1">
      <alignment horizontal="center" vertical="center"/>
      <protection hidden="1"/>
    </xf>
    <xf numFmtId="0" fontId="0" fillId="0" borderId="33"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29" fillId="0" borderId="0" xfId="0" applyFont="1" applyAlignment="1" applyProtection="1">
      <alignment horizontal="left" vertical="center"/>
      <protection hidden="1"/>
    </xf>
    <xf numFmtId="0" fontId="0" fillId="0" borderId="20" xfId="0" applyFont="1" applyBorder="1" applyAlignment="1" applyProtection="1">
      <alignment horizontal="left"/>
      <protection hidden="1"/>
    </xf>
    <xf numFmtId="0" fontId="0" fillId="3" borderId="28" xfId="0" applyFont="1" applyFill="1" applyBorder="1" applyAlignment="1" applyProtection="1">
      <alignment horizontal="left"/>
      <protection hidden="1"/>
    </xf>
    <xf numFmtId="0" fontId="0" fillId="3" borderId="28" xfId="0" applyFont="1" applyFill="1" applyBorder="1" applyAlignment="1" applyProtection="1" quotePrefix="1">
      <alignment horizontal="left"/>
      <protection hidden="1"/>
    </xf>
    <xf numFmtId="0" fontId="0" fillId="3" borderId="15" xfId="0" applyFont="1" applyFill="1" applyBorder="1" applyAlignment="1" applyProtection="1" quotePrefix="1">
      <alignment horizontal="left"/>
      <protection hidden="1"/>
    </xf>
    <xf numFmtId="1" fontId="7" fillId="2" borderId="34" xfId="0" applyNumberFormat="1" applyFont="1" applyFill="1" applyBorder="1" applyAlignment="1" applyProtection="1">
      <alignment horizontal="centerContinuous" vertical="center"/>
      <protection hidden="1"/>
    </xf>
    <xf numFmtId="1" fontId="7" fillId="2" borderId="3" xfId="0" applyNumberFormat="1" applyFont="1" applyFill="1" applyBorder="1" applyAlignment="1" applyProtection="1">
      <alignment horizontal="centerContinuous" vertical="center"/>
      <protection hidden="1"/>
    </xf>
    <xf numFmtId="0" fontId="0" fillId="0" borderId="35" xfId="0" applyFont="1" applyBorder="1" applyAlignment="1" applyProtection="1">
      <alignment horizontal="center" vertical="center"/>
      <protection hidden="1"/>
    </xf>
    <xf numFmtId="0" fontId="0" fillId="3" borderId="28" xfId="0" applyFont="1" applyFill="1" applyBorder="1" applyAlignment="1" applyProtection="1" quotePrefix="1">
      <alignment horizontal="center"/>
      <protection hidden="1"/>
    </xf>
    <xf numFmtId="0" fontId="0" fillId="0" borderId="20" xfId="0" applyFon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0" fontId="0" fillId="0" borderId="35"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2" fontId="8" fillId="4" borderId="1" xfId="0" applyNumberFormat="1" applyFont="1" applyFill="1" applyBorder="1" applyAlignment="1" applyProtection="1">
      <alignment horizontal="centerContinuous" vertical="center"/>
      <protection hidden="1"/>
    </xf>
    <xf numFmtId="2" fontId="8" fillId="4" borderId="36" xfId="0" applyNumberFormat="1" applyFont="1" applyFill="1" applyBorder="1" applyAlignment="1" applyProtection="1">
      <alignment horizontal="centerContinuous" vertical="center"/>
      <protection hidden="1"/>
    </xf>
    <xf numFmtId="167" fontId="7" fillId="0" borderId="21" xfId="0" applyNumberFormat="1" applyFont="1" applyFill="1" applyBorder="1" applyAlignment="1" applyProtection="1">
      <alignment horizontal="center" vertical="center"/>
      <protection hidden="1"/>
    </xf>
    <xf numFmtId="0" fontId="0" fillId="3" borderId="8" xfId="0" applyFont="1" applyFill="1" applyBorder="1" applyAlignment="1" applyProtection="1">
      <alignment horizontal="left"/>
      <protection hidden="1"/>
    </xf>
    <xf numFmtId="0" fontId="0" fillId="3" borderId="8" xfId="0" applyFont="1" applyFill="1" applyBorder="1" applyAlignment="1" applyProtection="1" quotePrefix="1">
      <alignment horizontal="left"/>
      <protection hidden="1"/>
    </xf>
    <xf numFmtId="0" fontId="16" fillId="3" borderId="8" xfId="0" applyFont="1" applyFill="1" applyBorder="1" applyAlignment="1" applyProtection="1">
      <alignment horizontal="left"/>
      <protection hidden="1"/>
    </xf>
    <xf numFmtId="0" fontId="16" fillId="3" borderId="12" xfId="0" applyFont="1" applyFill="1" applyBorder="1" applyAlignment="1" applyProtection="1">
      <alignment horizontal="left"/>
      <protection hidden="1"/>
    </xf>
    <xf numFmtId="0" fontId="0" fillId="3" borderId="9" xfId="0" applyFont="1" applyFill="1" applyBorder="1" applyAlignment="1" applyProtection="1" quotePrefix="1">
      <alignment horizontal="left"/>
      <protection hidden="1"/>
    </xf>
    <xf numFmtId="0" fontId="12" fillId="3" borderId="8" xfId="0" applyFont="1" applyFill="1" applyBorder="1" applyAlignment="1" applyProtection="1" quotePrefix="1">
      <alignment horizontal="left"/>
      <protection hidden="1"/>
    </xf>
    <xf numFmtId="0" fontId="0" fillId="3" borderId="8" xfId="0" applyFont="1" applyFill="1" applyBorder="1" applyAlignment="1" applyProtection="1" quotePrefix="1">
      <alignment horizontal="left"/>
      <protection hidden="1"/>
    </xf>
    <xf numFmtId="0" fontId="0" fillId="0" borderId="37" xfId="0" applyFont="1" applyBorder="1" applyAlignment="1" applyProtection="1">
      <alignment/>
      <protection hidden="1"/>
    </xf>
    <xf numFmtId="0" fontId="0" fillId="3" borderId="18" xfId="0" applyFont="1" applyFill="1" applyBorder="1" applyAlignment="1" applyProtection="1">
      <alignment horizontal="left" vertical="center"/>
      <protection hidden="1"/>
    </xf>
    <xf numFmtId="0" fontId="0" fillId="3" borderId="35" xfId="0" applyFont="1" applyFill="1" applyBorder="1" applyAlignment="1" applyProtection="1">
      <alignment horizontal="left" vertical="center"/>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left" vertical="center" wrapText="1"/>
      <protection hidden="1"/>
    </xf>
    <xf numFmtId="191" fontId="20" fillId="0" borderId="0" xfId="0" applyNumberFormat="1" applyFont="1" applyAlignment="1" applyProtection="1">
      <alignment horizontal="right" vertical="top" wrapText="1"/>
      <protection hidden="1"/>
    </xf>
    <xf numFmtId="0" fontId="27"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Continuous" vertical="center"/>
      <protection hidden="1"/>
    </xf>
    <xf numFmtId="181" fontId="7" fillId="0" borderId="1" xfId="0" applyNumberFormat="1" applyFont="1" applyFill="1" applyBorder="1" applyAlignment="1" applyProtection="1">
      <alignment horizontal="centerContinuous" vertical="center"/>
      <protection hidden="1"/>
    </xf>
    <xf numFmtId="0" fontId="11" fillId="0" borderId="0" xfId="0" applyFont="1" applyAlignment="1" applyProtection="1">
      <alignment vertical="center"/>
      <protection hidden="1"/>
    </xf>
    <xf numFmtId="0" fontId="0" fillId="0" borderId="15" xfId="0" applyFont="1" applyBorder="1" applyAlignment="1" applyProtection="1">
      <alignment horizontal="left"/>
      <protection hidden="1"/>
    </xf>
    <xf numFmtId="0" fontId="0" fillId="0" borderId="0" xfId="0" applyFont="1" applyBorder="1" applyAlignment="1" applyProtection="1">
      <alignment vertical="center"/>
      <protection hidden="1"/>
    </xf>
    <xf numFmtId="0" fontId="0" fillId="0" borderId="33" xfId="0" applyFont="1" applyBorder="1" applyAlignment="1" applyProtection="1">
      <alignment/>
      <protection hidden="1"/>
    </xf>
    <xf numFmtId="0" fontId="0" fillId="0" borderId="3"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20" fillId="0" borderId="0" xfId="0" applyFont="1" applyAlignment="1" applyProtection="1">
      <alignment vertical="center"/>
      <protection hidden="1"/>
    </xf>
    <xf numFmtId="0" fontId="31" fillId="0" borderId="0" xfId="0" applyFont="1" applyAlignment="1" applyProtection="1">
      <alignment vertical="center"/>
      <protection hidden="1"/>
    </xf>
    <xf numFmtId="0" fontId="2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0" fillId="0" borderId="1" xfId="0" applyBorder="1" applyAlignment="1" applyProtection="1">
      <alignment horizontal="center"/>
      <protection hidden="1"/>
    </xf>
    <xf numFmtId="0" fontId="8" fillId="0" borderId="38" xfId="0" applyFont="1" applyBorder="1" applyAlignment="1" applyProtection="1">
      <alignment horizontal="center"/>
      <protection hidden="1"/>
    </xf>
    <xf numFmtId="0" fontId="8" fillId="0" borderId="10" xfId="0" applyFont="1" applyBorder="1" applyAlignment="1" applyProtection="1">
      <alignment horizontal="center"/>
      <protection hidden="1"/>
    </xf>
    <xf numFmtId="0" fontId="8" fillId="2" borderId="39" xfId="0" applyFont="1" applyFill="1" applyBorder="1" applyAlignment="1" applyProtection="1">
      <alignment horizontal="center" vertical="center"/>
      <protection hidden="1"/>
    </xf>
    <xf numFmtId="0" fontId="0" fillId="0" borderId="2" xfId="0" applyBorder="1" applyAlignment="1" applyProtection="1">
      <alignment/>
      <protection hidden="1"/>
    </xf>
    <xf numFmtId="0" fontId="0" fillId="4" borderId="7" xfId="0" applyFill="1" applyBorder="1" applyAlignment="1" applyProtection="1">
      <alignment/>
      <protection hidden="1"/>
    </xf>
    <xf numFmtId="0" fontId="0" fillId="0" borderId="7" xfId="0" applyFill="1" applyBorder="1" applyAlignment="1" applyProtection="1">
      <alignment/>
      <protection hidden="1"/>
    </xf>
    <xf numFmtId="0" fontId="0" fillId="0" borderId="0" xfId="0" applyBorder="1" applyAlignment="1" applyProtection="1">
      <alignment/>
      <protection hidden="1"/>
    </xf>
    <xf numFmtId="0" fontId="8" fillId="2" borderId="21" xfId="0" applyFont="1" applyFill="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7" fillId="0" borderId="0" xfId="0" applyFont="1" applyAlignment="1" applyProtection="1">
      <alignment/>
      <protection hidden="1"/>
    </xf>
    <xf numFmtId="0" fontId="8" fillId="0" borderId="0" xfId="0" applyFont="1" applyBorder="1" applyAlignment="1" applyProtection="1">
      <alignment horizontal="center" vertical="center"/>
      <protection hidden="1"/>
    </xf>
    <xf numFmtId="0" fontId="28" fillId="0" borderId="0" xfId="0" applyFont="1" applyAlignment="1" applyProtection="1">
      <alignment/>
      <protection hidden="1"/>
    </xf>
    <xf numFmtId="0" fontId="28" fillId="0" borderId="0" xfId="0" applyFont="1" applyBorder="1" applyAlignment="1" applyProtection="1">
      <alignment horizontal="center" vertical="center" textRotation="90"/>
      <protection hidden="1"/>
    </xf>
    <xf numFmtId="0" fontId="32" fillId="0" borderId="0" xfId="0" applyFont="1" applyAlignment="1" applyProtection="1">
      <alignment horizontal="right" vertical="center"/>
      <protection hidden="1"/>
    </xf>
    <xf numFmtId="0" fontId="32" fillId="0" borderId="0" xfId="0" applyFont="1" applyAlignment="1" applyProtection="1">
      <alignment vertical="center"/>
      <protection hidden="1"/>
    </xf>
    <xf numFmtId="0" fontId="32" fillId="0" borderId="0" xfId="0" applyFont="1" applyAlignment="1" applyProtection="1">
      <alignment/>
      <protection hidden="1"/>
    </xf>
    <xf numFmtId="0" fontId="12" fillId="0" borderId="15" xfId="0" applyFont="1" applyBorder="1" applyAlignment="1" applyProtection="1">
      <alignment horizontal="right" vertical="center"/>
      <protection hidden="1"/>
    </xf>
    <xf numFmtId="0" fontId="16" fillId="0" borderId="0" xfId="0" applyFont="1" applyAlignment="1" applyProtection="1">
      <alignment horizontal="right" vertical="center"/>
      <protection hidden="1"/>
    </xf>
    <xf numFmtId="0" fontId="35"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0" fillId="0" borderId="40" xfId="0" applyFont="1" applyBorder="1" applyAlignment="1" applyProtection="1">
      <alignment horizontal="centerContinuous" vertical="center"/>
      <protection hidden="1"/>
    </xf>
    <xf numFmtId="0" fontId="0" fillId="0" borderId="41" xfId="0" applyFont="1" applyBorder="1" applyAlignment="1" applyProtection="1">
      <alignment horizontal="centerContinuous" vertical="center"/>
      <protection hidden="1"/>
    </xf>
    <xf numFmtId="167" fontId="7" fillId="0" borderId="42" xfId="0" applyNumberFormat="1" applyFont="1" applyBorder="1" applyAlignment="1" applyProtection="1">
      <alignment horizontal="centerContinuous" vertical="center"/>
      <protection hidden="1"/>
    </xf>
    <xf numFmtId="167" fontId="7" fillId="0" borderId="43" xfId="0" applyNumberFormat="1" applyFont="1" applyBorder="1" applyAlignment="1" applyProtection="1">
      <alignment horizontal="centerContinuous" vertical="center"/>
      <protection hidden="1"/>
    </xf>
    <xf numFmtId="188" fontId="10" fillId="5" borderId="42" xfId="0" applyNumberFormat="1" applyFont="1" applyFill="1" applyBorder="1" applyAlignment="1" applyProtection="1">
      <alignment horizontal="centerContinuous" vertical="center"/>
      <protection locked="0"/>
    </xf>
    <xf numFmtId="188" fontId="10" fillId="5" borderId="43" xfId="0" applyNumberFormat="1" applyFont="1" applyFill="1" applyBorder="1" applyAlignment="1" applyProtection="1">
      <alignment horizontal="centerContinuous" vertical="center"/>
      <protection locked="0"/>
    </xf>
    <xf numFmtId="189" fontId="10" fillId="5" borderId="42" xfId="0" applyNumberFormat="1" applyFont="1" applyFill="1" applyBorder="1" applyAlignment="1" applyProtection="1">
      <alignment horizontal="centerContinuous" vertical="center"/>
      <protection locked="0"/>
    </xf>
    <xf numFmtId="189" fontId="10" fillId="5" borderId="43" xfId="0" applyNumberFormat="1" applyFont="1" applyFill="1" applyBorder="1" applyAlignment="1" applyProtection="1">
      <alignment horizontal="centerContinuous" vertical="center"/>
      <protection locked="0"/>
    </xf>
    <xf numFmtId="183" fontId="7" fillId="0" borderId="42" xfId="0" applyNumberFormat="1" applyFont="1" applyFill="1" applyBorder="1" applyAlignment="1" applyProtection="1">
      <alignment horizontal="centerContinuous" vertical="center"/>
      <protection hidden="1"/>
    </xf>
    <xf numFmtId="183" fontId="7" fillId="0" borderId="43" xfId="0" applyNumberFormat="1" applyFont="1" applyFill="1" applyBorder="1" applyAlignment="1" applyProtection="1">
      <alignment horizontal="centerContinuous" vertical="center"/>
      <protection hidden="1"/>
    </xf>
    <xf numFmtId="183" fontId="7" fillId="0" borderId="44" xfId="0" applyNumberFormat="1" applyFont="1" applyFill="1" applyBorder="1" applyAlignment="1" applyProtection="1">
      <alignment horizontal="centerContinuous" vertical="center"/>
      <protection hidden="1"/>
    </xf>
    <xf numFmtId="183" fontId="7" fillId="0" borderId="45" xfId="0" applyNumberFormat="1" applyFont="1" applyFill="1" applyBorder="1" applyAlignment="1" applyProtection="1">
      <alignment horizontal="centerContinuous" vertical="center"/>
      <protection hidden="1"/>
    </xf>
    <xf numFmtId="0" fontId="37" fillId="0" borderId="0" xfId="0" applyFont="1" applyAlignment="1" applyProtection="1">
      <alignment horizontal="left" vertical="center"/>
      <protection hidden="1"/>
    </xf>
    <xf numFmtId="0" fontId="0" fillId="0" borderId="0" xfId="0" applyFont="1" applyAlignment="1" applyProtection="1">
      <alignment/>
      <protection hidden="1"/>
    </xf>
    <xf numFmtId="0" fontId="8" fillId="3" borderId="0" xfId="0" applyFont="1" applyFill="1" applyBorder="1" applyAlignment="1" applyProtection="1">
      <alignment horizontal="left" vertical="center"/>
      <protection hidden="1"/>
    </xf>
    <xf numFmtId="0" fontId="0" fillId="0" borderId="20" xfId="0" applyFont="1" applyBorder="1" applyAlignment="1" applyProtection="1">
      <alignment horizontal="center"/>
      <protection hidden="1"/>
    </xf>
    <xf numFmtId="0" fontId="12" fillId="3" borderId="28" xfId="0" applyFont="1" applyFill="1" applyBorder="1" applyAlignment="1" applyProtection="1" quotePrefix="1">
      <alignment horizontal="left"/>
      <protection hidden="1"/>
    </xf>
    <xf numFmtId="0" fontId="0" fillId="0" borderId="28" xfId="0" applyFont="1" applyBorder="1" applyAlignment="1" applyProtection="1">
      <alignment horizontal="center" vertical="center"/>
      <protection hidden="1"/>
    </xf>
    <xf numFmtId="0" fontId="0" fillId="0" borderId="28"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0" xfId="0" applyFont="1" applyAlignment="1" applyProtection="1">
      <alignment horizontal="left"/>
      <protection hidden="1"/>
    </xf>
    <xf numFmtId="0" fontId="12" fillId="0" borderId="20" xfId="0" applyFont="1" applyFill="1" applyBorder="1" applyAlignment="1" applyProtection="1" quotePrefix="1">
      <alignment horizontal="left"/>
      <protection hidden="1"/>
    </xf>
    <xf numFmtId="0" fontId="0" fillId="0" borderId="27" xfId="0" applyFont="1" applyBorder="1" applyAlignment="1" applyProtection="1">
      <alignment horizontal="center" vertical="center"/>
      <protection hidden="1"/>
    </xf>
    <xf numFmtId="0" fontId="0" fillId="0" borderId="17" xfId="0" applyFont="1" applyBorder="1" applyAlignment="1" applyProtection="1">
      <alignment vertical="center"/>
      <protection hidden="1"/>
    </xf>
    <xf numFmtId="0" fontId="12" fillId="0" borderId="20" xfId="0" applyFont="1" applyFill="1" applyBorder="1" applyAlignment="1" applyProtection="1">
      <alignment horizontal="center"/>
      <protection hidden="1"/>
    </xf>
    <xf numFmtId="0" fontId="0" fillId="0" borderId="20" xfId="0" applyFont="1" applyBorder="1" applyAlignment="1" applyProtection="1">
      <alignment horizontal="center" vertical="center"/>
      <protection hidden="1"/>
    </xf>
    <xf numFmtId="0" fontId="0" fillId="0" borderId="17" xfId="0" applyFont="1" applyBorder="1" applyAlignment="1" applyProtection="1">
      <alignment vertical="center"/>
      <protection hidden="1"/>
    </xf>
    <xf numFmtId="0" fontId="0" fillId="3" borderId="28" xfId="0" applyFont="1" applyFill="1" applyBorder="1" applyAlignment="1" applyProtection="1">
      <alignment horizontal="center"/>
      <protection hidden="1"/>
    </xf>
    <xf numFmtId="0" fontId="0" fillId="3" borderId="15" xfId="0" applyFont="1" applyFill="1" applyBorder="1" applyAlignment="1" applyProtection="1">
      <alignment horizontal="left"/>
      <protection hidden="1"/>
    </xf>
    <xf numFmtId="0" fontId="0" fillId="3" borderId="28" xfId="0" applyFont="1" applyFill="1" applyBorder="1" applyAlignment="1" applyProtection="1" quotePrefix="1">
      <alignment horizontal="center"/>
      <protection hidden="1"/>
    </xf>
    <xf numFmtId="0" fontId="0" fillId="0" borderId="0" xfId="0" applyFont="1" applyBorder="1" applyAlignment="1" applyProtection="1">
      <alignment horizontal="left"/>
      <protection hidden="1"/>
    </xf>
    <xf numFmtId="0" fontId="0" fillId="3" borderId="28" xfId="0" applyFont="1" applyFill="1" applyBorder="1" applyAlignment="1" applyProtection="1" quotePrefix="1">
      <alignment horizontal="center"/>
      <protection hidden="1"/>
    </xf>
    <xf numFmtId="0" fontId="0" fillId="0" borderId="35" xfId="0" applyFont="1" applyBorder="1" applyAlignment="1" applyProtection="1">
      <alignment horizontal="center" vertical="center"/>
      <protection hidden="1"/>
    </xf>
    <xf numFmtId="0" fontId="0" fillId="3" borderId="15" xfId="0" applyFont="1" applyFill="1" applyBorder="1" applyAlignment="1" applyProtection="1" quotePrefix="1">
      <alignment horizontal="center"/>
      <protection hidden="1"/>
    </xf>
    <xf numFmtId="0" fontId="0" fillId="0" borderId="12" xfId="0" applyFont="1" applyBorder="1" applyAlignment="1" applyProtection="1">
      <alignment horizontal="center" vertical="center"/>
      <protection hidden="1"/>
    </xf>
    <xf numFmtId="0" fontId="12" fillId="3" borderId="20" xfId="0" applyFont="1" applyFill="1" applyBorder="1" applyAlignment="1" applyProtection="1" quotePrefix="1">
      <alignment horizontal="left"/>
      <protection hidden="1"/>
    </xf>
    <xf numFmtId="0" fontId="0" fillId="0" borderId="1" xfId="0" applyFont="1" applyBorder="1" applyAlignment="1" applyProtection="1">
      <alignment vertical="center"/>
      <protection hidden="1"/>
    </xf>
    <xf numFmtId="167" fontId="0" fillId="0" borderId="18" xfId="0" applyNumberFormat="1" applyFont="1" applyBorder="1" applyAlignment="1" applyProtection="1">
      <alignment horizontal="left" vertical="center"/>
      <protection hidden="1"/>
    </xf>
    <xf numFmtId="0" fontId="0" fillId="0" borderId="20" xfId="0" applyFont="1" applyFill="1" applyBorder="1" applyAlignment="1" applyProtection="1">
      <alignment horizontal="left"/>
      <protection hidden="1"/>
    </xf>
    <xf numFmtId="0" fontId="0" fillId="0" borderId="15" xfId="0" applyFont="1" applyFill="1" applyBorder="1" applyAlignment="1" applyProtection="1">
      <alignment horizontal="left"/>
      <protection hidden="1"/>
    </xf>
    <xf numFmtId="0" fontId="0" fillId="0" borderId="4" xfId="0" applyFont="1" applyBorder="1" applyAlignment="1" applyProtection="1">
      <alignment horizontal="left" vertical="center"/>
      <protection hidden="1"/>
    </xf>
    <xf numFmtId="0" fontId="0" fillId="3" borderId="15" xfId="0" applyFont="1" applyFill="1" applyBorder="1" applyAlignment="1" applyProtection="1" quotePrefix="1">
      <alignment horizontal="center"/>
      <protection hidden="1"/>
    </xf>
    <xf numFmtId="0" fontId="0" fillId="0" borderId="12" xfId="0" applyFont="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Alignment="1" applyProtection="1">
      <alignment horizontal="center"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protection hidden="1"/>
    </xf>
    <xf numFmtId="0" fontId="7" fillId="2" borderId="0" xfId="0" applyFont="1" applyFill="1" applyAlignment="1" applyProtection="1" quotePrefix="1">
      <alignment horizontal="left" vertical="center"/>
      <protection hidden="1"/>
    </xf>
    <xf numFmtId="0" fontId="7" fillId="2" borderId="0" xfId="0" applyFont="1" applyFill="1" applyAlignment="1" applyProtection="1">
      <alignment horizontal="left" vertical="center"/>
      <protection hidden="1"/>
    </xf>
    <xf numFmtId="0" fontId="7" fillId="2" borderId="0" xfId="0" applyFont="1" applyFill="1" applyAlignment="1" applyProtection="1">
      <alignment vertical="center"/>
      <protection hidden="1"/>
    </xf>
    <xf numFmtId="0" fontId="0" fillId="0" borderId="0" xfId="0" applyFont="1" applyAlignment="1" applyProtection="1" quotePrefix="1">
      <alignment horizontal="right" vertical="center"/>
      <protection hidden="1"/>
    </xf>
    <xf numFmtId="0" fontId="0" fillId="0" borderId="46" xfId="0" applyFont="1" applyBorder="1" applyAlignment="1" applyProtection="1">
      <alignment horizontal="right" vertical="center"/>
      <protection hidden="1"/>
    </xf>
    <xf numFmtId="2" fontId="10" fillId="5" borderId="42" xfId="0" applyNumberFormat="1" applyFont="1" applyFill="1" applyBorder="1" applyAlignment="1" applyProtection="1">
      <alignment horizontal="centerContinuous" vertical="center"/>
      <protection locked="0"/>
    </xf>
    <xf numFmtId="0" fontId="0" fillId="0" borderId="0" xfId="0" applyFont="1" applyBorder="1" applyAlignment="1" applyProtection="1">
      <alignment/>
      <protection hidden="1"/>
    </xf>
    <xf numFmtId="0" fontId="0" fillId="0" borderId="0" xfId="0" applyFont="1" applyBorder="1" applyAlignment="1" applyProtection="1" quotePrefix="1">
      <alignment horizontal="right" vertical="center"/>
      <protection hidden="1"/>
    </xf>
    <xf numFmtId="0" fontId="25" fillId="0" borderId="0" xfId="0" applyFont="1" applyAlignment="1" applyProtection="1">
      <alignment vertical="center"/>
      <protection hidden="1"/>
    </xf>
    <xf numFmtId="170" fontId="0" fillId="0" borderId="0" xfId="0" applyNumberFormat="1" applyFont="1" applyAlignment="1" applyProtection="1">
      <alignment horizontal="right" vertical="center"/>
      <protection hidden="1"/>
    </xf>
    <xf numFmtId="0" fontId="0" fillId="4" borderId="1" xfId="0" applyFont="1" applyFill="1" applyBorder="1" applyAlignment="1" applyProtection="1">
      <alignment vertical="center"/>
      <protection hidden="1"/>
    </xf>
    <xf numFmtId="0" fontId="0" fillId="4" borderId="2" xfId="0" applyFont="1" applyFill="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1"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4" borderId="5" xfId="0" applyFont="1" applyFill="1" applyBorder="1" applyAlignment="1" applyProtection="1">
      <alignment vertical="center"/>
      <protection hidden="1"/>
    </xf>
    <xf numFmtId="0" fontId="0" fillId="4" borderId="0" xfId="0" applyFont="1" applyFill="1" applyAlignment="1" applyProtection="1">
      <alignment vertical="center"/>
      <protection hidden="1"/>
    </xf>
    <xf numFmtId="0" fontId="0" fillId="0" borderId="0" xfId="0" applyFont="1" applyBorder="1" applyAlignment="1" applyProtection="1">
      <alignment vertical="center"/>
      <protection hidden="1"/>
    </xf>
    <xf numFmtId="0" fontId="0" fillId="4" borderId="0" xfId="0" applyFont="1" applyFill="1" applyBorder="1" applyAlignment="1" applyProtection="1">
      <alignment vertical="center"/>
      <protection hidden="1"/>
    </xf>
    <xf numFmtId="0" fontId="8" fillId="0" borderId="1" xfId="0" applyFont="1" applyBorder="1" applyAlignment="1" applyProtection="1">
      <alignment vertical="center"/>
      <protection hidden="1"/>
    </xf>
    <xf numFmtId="0" fontId="0" fillId="4" borderId="36" xfId="0" applyFont="1" applyFill="1" applyBorder="1" applyAlignment="1" applyProtection="1">
      <alignment vertical="center"/>
      <protection hidden="1"/>
    </xf>
    <xf numFmtId="170" fontId="0" fillId="0" borderId="0" xfId="0" applyNumberFormat="1" applyFont="1" applyAlignment="1" applyProtection="1">
      <alignment horizontal="center" vertical="center"/>
      <protection hidden="1"/>
    </xf>
    <xf numFmtId="0" fontId="0" fillId="0" borderId="5" xfId="0" applyFont="1" applyBorder="1" applyAlignment="1" applyProtection="1">
      <alignment horizontal="centerContinuous" vertical="center"/>
      <protection hidden="1"/>
    </xf>
    <xf numFmtId="0" fontId="0" fillId="4" borderId="5" xfId="0" applyFont="1" applyFill="1" applyBorder="1" applyAlignment="1" applyProtection="1">
      <alignment horizontal="centerContinuous" vertical="center"/>
      <protection hidden="1"/>
    </xf>
    <xf numFmtId="0" fontId="0" fillId="4" borderId="0" xfId="0" applyFont="1" applyFill="1" applyBorder="1" applyAlignment="1" applyProtection="1">
      <alignment horizontal="centerContinuous" vertical="center"/>
      <protection hidden="1"/>
    </xf>
    <xf numFmtId="0" fontId="0" fillId="4" borderId="47" xfId="0" applyFont="1" applyFill="1" applyBorder="1" applyAlignment="1" applyProtection="1">
      <alignment horizontal="centerContinuous" vertical="center"/>
      <protection hidden="1"/>
    </xf>
    <xf numFmtId="0" fontId="0" fillId="0" borderId="30" xfId="0" applyFont="1" applyBorder="1" applyAlignment="1" applyProtection="1">
      <alignment horizontal="centerContinuous" vertical="center"/>
      <protection hidden="1"/>
    </xf>
    <xf numFmtId="0" fontId="0" fillId="4" borderId="30" xfId="0" applyFont="1" applyFill="1" applyBorder="1" applyAlignment="1" applyProtection="1">
      <alignment horizontal="centerContinuous" vertical="center"/>
      <protection hidden="1"/>
    </xf>
    <xf numFmtId="0" fontId="0" fillId="4" borderId="14" xfId="0" applyFont="1" applyFill="1" applyBorder="1" applyAlignment="1" applyProtection="1">
      <alignment horizontal="centerContinuous" vertical="center"/>
      <protection hidden="1"/>
    </xf>
    <xf numFmtId="0" fontId="0" fillId="4" borderId="48" xfId="0" applyFont="1" applyFill="1" applyBorder="1" applyAlignment="1" applyProtection="1">
      <alignment horizontal="centerContinuous"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vertical="center" wrapText="1"/>
      <protection hidden="1"/>
    </xf>
    <xf numFmtId="0" fontId="10" fillId="0" borderId="0" xfId="0" applyFont="1" applyAlignment="1" applyProtection="1" quotePrefix="1">
      <alignment vertical="center" wrapText="1"/>
      <protection hidden="1"/>
    </xf>
    <xf numFmtId="0" fontId="0" fillId="0" borderId="0" xfId="0" applyFont="1" applyBorder="1" applyAlignment="1" applyProtection="1" quotePrefix="1">
      <alignment horizontal="right" vertical="center"/>
      <protection hidden="1"/>
    </xf>
    <xf numFmtId="2" fontId="10" fillId="5" borderId="10" xfId="0" applyNumberFormat="1" applyFont="1" applyFill="1" applyBorder="1" applyAlignment="1" applyProtection="1">
      <alignment horizontal="centerContinuous" vertical="center"/>
      <protection locked="0"/>
    </xf>
    <xf numFmtId="2" fontId="10" fillId="5" borderId="3" xfId="0" applyNumberFormat="1" applyFont="1" applyFill="1" applyBorder="1" applyAlignment="1" applyProtection="1">
      <alignment horizontal="centerContinuous" vertical="center"/>
      <protection locked="0"/>
    </xf>
    <xf numFmtId="0" fontId="7" fillId="0" borderId="1" xfId="0" applyFont="1" applyBorder="1" applyAlignment="1" applyProtection="1">
      <alignment vertical="center"/>
      <protection hidden="1"/>
    </xf>
    <xf numFmtId="0" fontId="0" fillId="0" borderId="38"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5" xfId="0" applyFont="1" applyBorder="1" applyAlignment="1" applyProtection="1" quotePrefix="1">
      <alignment vertical="center"/>
      <protection hidden="1"/>
    </xf>
    <xf numFmtId="0" fontId="0" fillId="0" borderId="49" xfId="0" applyFont="1" applyBorder="1" applyAlignment="1" applyProtection="1">
      <alignment horizontal="centerContinuous" vertical="center"/>
      <protection hidden="1"/>
    </xf>
    <xf numFmtId="0" fontId="0" fillId="0" borderId="39" xfId="0" applyFont="1" applyBorder="1" applyAlignment="1" applyProtection="1">
      <alignment horizontal="centerContinuous" vertical="center"/>
      <protection hidden="1"/>
    </xf>
    <xf numFmtId="0" fontId="0" fillId="0" borderId="29" xfId="0" applyFont="1" applyBorder="1" applyAlignment="1" applyProtection="1" quotePrefix="1">
      <alignment horizontal="left" vertical="center"/>
      <protection hidden="1"/>
    </xf>
    <xf numFmtId="0" fontId="0" fillId="0" borderId="31"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13" xfId="0" applyFont="1" applyBorder="1" applyAlignment="1" applyProtection="1">
      <alignment horizontal="centerContinuous" vertical="center"/>
      <protection hidden="1"/>
    </xf>
    <xf numFmtId="0" fontId="0" fillId="0" borderId="11" xfId="0" applyFont="1" applyBorder="1" applyAlignment="1" applyProtection="1">
      <alignment horizontal="centerContinuous" vertical="center"/>
      <protection hidden="1"/>
    </xf>
    <xf numFmtId="0" fontId="7" fillId="0" borderId="5" xfId="0" applyFont="1" applyBorder="1" applyAlignment="1" applyProtection="1">
      <alignment vertical="center"/>
      <protection hidden="1"/>
    </xf>
    <xf numFmtId="0" fontId="0" fillId="0" borderId="5" xfId="0" applyFont="1" applyBorder="1" applyAlignment="1" applyProtection="1">
      <alignment vertical="top"/>
      <protection hidden="1"/>
    </xf>
    <xf numFmtId="0" fontId="0" fillId="0" borderId="50"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0" fillId="0" borderId="29" xfId="0" applyFont="1" applyBorder="1" applyAlignment="1" applyProtection="1">
      <alignment vertical="center"/>
      <protection hidden="1"/>
    </xf>
    <xf numFmtId="0" fontId="7" fillId="0" borderId="49"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0" fillId="0" borderId="30"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54"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0" fillId="0" borderId="6" xfId="0" applyFont="1" applyBorder="1" applyAlignment="1" applyProtection="1">
      <alignment horizontal="left" vertical="center" wrapText="1"/>
      <protection hidden="1"/>
    </xf>
    <xf numFmtId="0" fontId="0" fillId="0" borderId="52" xfId="0" applyFont="1" applyBorder="1" applyAlignment="1" applyProtection="1">
      <alignment horizontal="left" vertical="center"/>
      <protection hidden="1"/>
    </xf>
    <xf numFmtId="0" fontId="0" fillId="0" borderId="11" xfId="0" applyFont="1" applyBorder="1" applyAlignment="1" applyProtection="1">
      <alignment horizontal="center" vertical="center"/>
      <protection hidden="1"/>
    </xf>
    <xf numFmtId="0" fontId="0" fillId="3" borderId="51" xfId="0" applyFont="1" applyFill="1" applyBorder="1" applyAlignment="1" applyProtection="1" quotePrefix="1">
      <alignment horizontal="left" vertical="center"/>
      <protection hidden="1"/>
    </xf>
    <xf numFmtId="0" fontId="0" fillId="0" borderId="56" xfId="0" applyFont="1" applyBorder="1" applyAlignment="1" applyProtection="1">
      <alignment horizontal="center" vertical="center"/>
      <protection hidden="1"/>
    </xf>
    <xf numFmtId="0" fontId="0" fillId="0" borderId="21" xfId="0" applyFont="1" applyBorder="1" applyAlignment="1" applyProtection="1">
      <alignment horizontal="right" vertical="center"/>
      <protection hidden="1"/>
    </xf>
    <xf numFmtId="0" fontId="0" fillId="0" borderId="33" xfId="0" applyFont="1" applyBorder="1" applyAlignment="1" applyProtection="1">
      <alignment vertical="center"/>
      <protection hidden="1"/>
    </xf>
    <xf numFmtId="0" fontId="0" fillId="0" borderId="1" xfId="0" applyFont="1" applyBorder="1" applyAlignment="1" applyProtection="1">
      <alignment vertical="top"/>
      <protection hidden="1"/>
    </xf>
    <xf numFmtId="0" fontId="0" fillId="0" borderId="2" xfId="0" applyFont="1" applyBorder="1" applyAlignment="1" applyProtection="1">
      <alignment vertical="top"/>
      <protection hidden="1"/>
    </xf>
    <xf numFmtId="0" fontId="0" fillId="0" borderId="29" xfId="0" applyFont="1" applyBorder="1" applyAlignment="1" applyProtection="1">
      <alignment vertical="top"/>
      <protection hidden="1"/>
    </xf>
    <xf numFmtId="0" fontId="0" fillId="0" borderId="31" xfId="0" applyFont="1" applyBorder="1" applyAlignment="1" applyProtection="1">
      <alignment vertical="top"/>
      <protection hidden="1"/>
    </xf>
    <xf numFmtId="0" fontId="0" fillId="0" borderId="28" xfId="0" applyFont="1" applyBorder="1" applyAlignment="1" applyProtection="1" quotePrefix="1">
      <alignment horizontal="left" vertical="center"/>
      <protection hidden="1"/>
    </xf>
    <xf numFmtId="0" fontId="0" fillId="0" borderId="17" xfId="0" applyFont="1" applyBorder="1" applyAlignment="1" applyProtection="1" quotePrefix="1">
      <alignment horizontal="left" vertical="center"/>
      <protection hidden="1"/>
    </xf>
    <xf numFmtId="166" fontId="7" fillId="0" borderId="24" xfId="0" applyNumberFormat="1" applyFont="1" applyBorder="1" applyAlignment="1" applyProtection="1">
      <alignment horizontal="center" vertical="center"/>
      <protection hidden="1"/>
    </xf>
    <xf numFmtId="0" fontId="10" fillId="5" borderId="23" xfId="0" applyNumberFormat="1" applyFont="1" applyFill="1" applyBorder="1" applyAlignment="1" applyProtection="1">
      <alignment horizontal="center" vertical="center"/>
      <protection locked="0"/>
    </xf>
    <xf numFmtId="0" fontId="22" fillId="5" borderId="22" xfId="0" applyFont="1" applyFill="1" applyBorder="1" applyAlignment="1" applyProtection="1">
      <alignment horizontal="center" vertical="center"/>
      <protection locked="0"/>
    </xf>
    <xf numFmtId="0" fontId="22" fillId="5" borderId="24" xfId="0" applyFont="1" applyFill="1" applyBorder="1" applyAlignment="1" applyProtection="1">
      <alignment horizontal="center" vertical="center"/>
      <protection locked="0"/>
    </xf>
    <xf numFmtId="0" fontId="0" fillId="0" borderId="15" xfId="0" applyFont="1" applyBorder="1" applyAlignment="1" applyProtection="1">
      <alignment vertical="center"/>
      <protection hidden="1"/>
    </xf>
    <xf numFmtId="0" fontId="0" fillId="0" borderId="37" xfId="0" applyFont="1" applyBorder="1" applyAlignment="1" applyProtection="1">
      <alignment horizontal="left" vertical="center"/>
      <protection hidden="1"/>
    </xf>
    <xf numFmtId="0" fontId="12" fillId="0" borderId="3" xfId="0" applyFont="1" applyBorder="1" applyAlignment="1" applyProtection="1">
      <alignment horizontal="center" vertical="center"/>
      <protection hidden="1"/>
    </xf>
    <xf numFmtId="0" fontId="22" fillId="5" borderId="23" xfId="0" applyFont="1" applyFill="1" applyBorder="1" applyAlignment="1" applyProtection="1">
      <alignment horizontal="center"/>
      <protection locked="0"/>
    </xf>
    <xf numFmtId="0" fontId="0" fillId="0" borderId="17"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32" xfId="0" applyFont="1" applyBorder="1" applyAlignment="1" applyProtection="1">
      <alignment vertical="center"/>
      <protection hidden="1"/>
    </xf>
    <xf numFmtId="0" fontId="0" fillId="0" borderId="19" xfId="0" applyFont="1" applyBorder="1" applyAlignment="1" applyProtection="1">
      <alignment horizontal="center" vertical="center"/>
      <protection hidden="1"/>
    </xf>
    <xf numFmtId="0" fontId="22" fillId="5" borderId="22" xfId="0" applyFont="1" applyFill="1" applyBorder="1" applyAlignment="1" applyProtection="1">
      <alignment horizontal="center"/>
      <protection locked="0"/>
    </xf>
    <xf numFmtId="0" fontId="22" fillId="5" borderId="24" xfId="0" applyFont="1" applyFill="1" applyBorder="1" applyAlignment="1" applyProtection="1">
      <alignment horizontal="center"/>
      <protection locked="0"/>
    </xf>
    <xf numFmtId="193" fontId="22" fillId="5" borderId="24" xfId="0" applyNumberFormat="1" applyFont="1" applyFill="1" applyBorder="1" applyAlignment="1" applyProtection="1">
      <alignment horizontal="center" vertical="center"/>
      <protection locked="0"/>
    </xf>
    <xf numFmtId="0" fontId="0" fillId="0" borderId="6" xfId="0" applyFont="1" applyBorder="1" applyAlignment="1" applyProtection="1">
      <alignment horizontal="left" vertical="center"/>
      <protection hidden="1"/>
    </xf>
    <xf numFmtId="0" fontId="0" fillId="0" borderId="30" xfId="0" applyFont="1" applyBorder="1" applyAlignment="1" applyProtection="1">
      <alignment vertical="center"/>
      <protection hidden="1"/>
    </xf>
    <xf numFmtId="0" fontId="4" fillId="0" borderId="29" xfId="0" applyFont="1" applyBorder="1" applyAlignment="1" applyProtection="1">
      <alignment horizontal="center" vertical="center"/>
      <protection hidden="1"/>
    </xf>
    <xf numFmtId="0" fontId="12" fillId="0" borderId="28" xfId="0" applyFont="1" applyFill="1" applyBorder="1" applyAlignment="1" applyProtection="1">
      <alignment horizontal="center"/>
      <protection hidden="1"/>
    </xf>
    <xf numFmtId="1" fontId="8" fillId="4" borderId="24" xfId="0" applyNumberFormat="1" applyFont="1" applyFill="1" applyBorder="1" applyAlignment="1" applyProtection="1">
      <alignment horizontal="centerContinuous" vertical="center"/>
      <protection hidden="1"/>
    </xf>
    <xf numFmtId="0" fontId="0" fillId="0" borderId="0" xfId="0" applyFont="1" applyAlignment="1" applyProtection="1" quotePrefix="1">
      <alignment horizontal="right" vertical="center"/>
      <protection hidden="1"/>
    </xf>
    <xf numFmtId="167" fontId="40" fillId="0" borderId="0" xfId="0" applyNumberFormat="1" applyFont="1" applyAlignment="1" applyProtection="1">
      <alignment vertical="center"/>
      <protection hidden="1"/>
    </xf>
    <xf numFmtId="194" fontId="7" fillId="0" borderId="1" xfId="0" applyNumberFormat="1" applyFont="1" applyFill="1" applyBorder="1" applyAlignment="1" applyProtection="1">
      <alignment horizontal="center" vertical="center"/>
      <protection hidden="1"/>
    </xf>
    <xf numFmtId="194" fontId="7" fillId="0" borderId="10" xfId="0" applyNumberFormat="1" applyFont="1" applyFill="1" applyBorder="1" applyAlignment="1" applyProtection="1">
      <alignment horizontal="center" vertical="center"/>
      <protection hidden="1"/>
    </xf>
    <xf numFmtId="194" fontId="0" fillId="5" borderId="4" xfId="0" applyNumberFormat="1" applyFont="1" applyFill="1" applyBorder="1" applyAlignment="1" applyProtection="1">
      <alignment horizontal="center" vertical="center"/>
      <protection locked="0"/>
    </xf>
    <xf numFmtId="194" fontId="0" fillId="5" borderId="3" xfId="0" applyNumberFormat="1" applyFont="1" applyFill="1" applyBorder="1" applyAlignment="1" applyProtection="1">
      <alignment horizontal="center" vertical="center"/>
      <protection locked="0"/>
    </xf>
    <xf numFmtId="167" fontId="41" fillId="0" borderId="0" xfId="0" applyNumberFormat="1" applyFont="1" applyAlignment="1" applyProtection="1">
      <alignment vertical="center"/>
      <protection hidden="1"/>
    </xf>
    <xf numFmtId="0" fontId="12" fillId="0" borderId="47" xfId="0" applyFont="1" applyFill="1" applyBorder="1" applyAlignment="1" applyProtection="1">
      <alignment horizontal="center" vertical="center"/>
      <protection hidden="1"/>
    </xf>
    <xf numFmtId="167" fontId="7" fillId="0" borderId="0" xfId="0" applyNumberFormat="1" applyFont="1" applyAlignment="1" applyProtection="1">
      <alignment horizontal="left" vertical="center"/>
      <protection hidden="1"/>
    </xf>
    <xf numFmtId="167" fontId="7" fillId="0" borderId="0" xfId="0" applyNumberFormat="1" applyFont="1" applyAlignment="1" applyProtection="1">
      <alignment horizontal="left"/>
      <protection hidden="1"/>
    </xf>
    <xf numFmtId="0" fontId="44" fillId="0" borderId="0" xfId="0" applyFont="1" applyAlignment="1" applyProtection="1">
      <alignment vertical="center"/>
      <protection hidden="1"/>
    </xf>
    <xf numFmtId="0" fontId="20" fillId="0" borderId="0" xfId="18" applyFont="1" applyAlignment="1" applyProtection="1">
      <alignment vertical="center"/>
      <protection hidden="1"/>
    </xf>
    <xf numFmtId="0" fontId="20" fillId="0" borderId="0" xfId="0" applyFont="1" applyAlignment="1" applyProtection="1" quotePrefix="1">
      <alignment horizontal="left" vertical="center"/>
      <protection hidden="1"/>
    </xf>
    <xf numFmtId="0" fontId="25" fillId="0" borderId="57" xfId="0" applyFont="1" applyFill="1" applyBorder="1" applyAlignment="1" applyProtection="1">
      <alignment horizontal="left"/>
      <protection hidden="1"/>
    </xf>
    <xf numFmtId="0" fontId="44" fillId="0" borderId="58" xfId="0" applyFont="1" applyFill="1" applyBorder="1" applyAlignment="1" applyProtection="1">
      <alignment vertical="center"/>
      <protection hidden="1"/>
    </xf>
    <xf numFmtId="0" fontId="20" fillId="0" borderId="58" xfId="0" applyFont="1" applyFill="1" applyBorder="1" applyAlignment="1" applyProtection="1">
      <alignment horizontal="center" vertical="top" wrapText="1"/>
      <protection hidden="1"/>
    </xf>
    <xf numFmtId="0" fontId="20" fillId="0" borderId="58" xfId="0" applyFont="1" applyFill="1" applyBorder="1" applyAlignment="1" applyProtection="1">
      <alignment horizontal="left" vertical="top" wrapText="1"/>
      <protection hidden="1"/>
    </xf>
    <xf numFmtId="0" fontId="25" fillId="0" borderId="59" xfId="0" applyFont="1" applyFill="1" applyBorder="1" applyAlignment="1" applyProtection="1">
      <alignment horizontal="right"/>
      <protection hidden="1"/>
    </xf>
    <xf numFmtId="0" fontId="25" fillId="0" borderId="60" xfId="0" applyFont="1" applyFill="1" applyBorder="1" applyAlignment="1" applyProtection="1">
      <alignment horizontal="left" vertical="center"/>
      <protection hidden="1"/>
    </xf>
    <xf numFmtId="0" fontId="20" fillId="0" borderId="61" xfId="0" applyFont="1" applyFill="1" applyBorder="1" applyAlignment="1" applyProtection="1">
      <alignment horizontal="center" vertical="top" wrapText="1"/>
      <protection hidden="1"/>
    </xf>
    <xf numFmtId="0" fontId="20" fillId="0" borderId="61" xfId="0" applyFont="1" applyFill="1" applyBorder="1" applyAlignment="1" applyProtection="1">
      <alignment horizontal="left" vertical="top" wrapText="1"/>
      <protection hidden="1"/>
    </xf>
    <xf numFmtId="0" fontId="25" fillId="0" borderId="62" xfId="0" applyFont="1" applyFill="1" applyBorder="1" applyAlignment="1" applyProtection="1">
      <alignment horizontal="right" vertical="center"/>
      <protection hidden="1"/>
    </xf>
    <xf numFmtId="0" fontId="25" fillId="0" borderId="63" xfId="0" applyFont="1" applyFill="1" applyBorder="1" applyAlignment="1" applyProtection="1">
      <alignment horizontal="left" vertical="center"/>
      <protection hidden="1"/>
    </xf>
    <xf numFmtId="0" fontId="20" fillId="0" borderId="64" xfId="0" applyFont="1" applyFill="1" applyBorder="1" applyAlignment="1" applyProtection="1">
      <alignment horizontal="center" vertical="top" wrapText="1"/>
      <protection hidden="1"/>
    </xf>
    <xf numFmtId="0" fontId="20" fillId="0" borderId="64" xfId="0" applyFont="1" applyFill="1" applyBorder="1" applyAlignment="1" applyProtection="1">
      <alignment horizontal="left" vertical="top" wrapText="1"/>
      <protection hidden="1"/>
    </xf>
    <xf numFmtId="0" fontId="25" fillId="0" borderId="65" xfId="0" applyFont="1" applyFill="1" applyBorder="1" applyAlignment="1" applyProtection="1">
      <alignment horizontal="right" vertical="center"/>
      <protection hidden="1"/>
    </xf>
    <xf numFmtId="0" fontId="45" fillId="0" borderId="0" xfId="0" applyFont="1" applyBorder="1" applyAlignment="1" applyProtection="1">
      <alignment horizontal="center" vertical="center" wrapText="1"/>
      <protection hidden="1"/>
    </xf>
    <xf numFmtId="0" fontId="45" fillId="0" borderId="0" xfId="0" applyFont="1" applyBorder="1" applyAlignment="1" applyProtection="1">
      <alignment vertical="center" wrapText="1"/>
      <protection hidden="1"/>
    </xf>
    <xf numFmtId="0" fontId="20" fillId="0" borderId="0" xfId="0" applyFont="1" applyBorder="1" applyAlignment="1" applyProtection="1">
      <alignment/>
      <protection hidden="1"/>
    </xf>
    <xf numFmtId="0" fontId="44" fillId="0" borderId="0"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50" fillId="0" borderId="0" xfId="0" applyFont="1" applyBorder="1" applyAlignment="1" applyProtection="1">
      <alignment vertical="center"/>
      <protection hidden="1"/>
    </xf>
    <xf numFmtId="0" fontId="49" fillId="0" borderId="0" xfId="0" applyFont="1" applyBorder="1" applyAlignment="1" applyProtection="1">
      <alignment vertical="center" wrapText="1"/>
      <protection hidden="1"/>
    </xf>
    <xf numFmtId="0" fontId="20" fillId="0" borderId="0" xfId="0" applyFont="1" applyAlignment="1" applyProtection="1">
      <alignment vertical="top"/>
      <protection hidden="1"/>
    </xf>
    <xf numFmtId="0" fontId="25" fillId="0" borderId="0" xfId="0" applyFont="1" applyAlignment="1" applyProtection="1">
      <alignment vertical="top"/>
      <protection hidden="1"/>
    </xf>
    <xf numFmtId="0" fontId="20" fillId="0" borderId="0" xfId="0" applyFont="1" applyAlignment="1" applyProtection="1">
      <alignment horizontal="justify" vertical="center"/>
      <protection hidden="1"/>
    </xf>
    <xf numFmtId="0" fontId="20" fillId="0" borderId="0" xfId="0" applyFont="1" applyAlignment="1" applyProtection="1">
      <alignment horizontal="right" vertical="center"/>
      <protection hidden="1"/>
    </xf>
    <xf numFmtId="0" fontId="51" fillId="0" borderId="0" xfId="0" applyFont="1" applyAlignment="1" applyProtection="1">
      <alignment/>
      <protection hidden="1"/>
    </xf>
    <xf numFmtId="0" fontId="42" fillId="0" borderId="0" xfId="0" applyFont="1" applyAlignment="1" applyProtection="1">
      <alignment/>
      <protection hidden="1"/>
    </xf>
    <xf numFmtId="0" fontId="46" fillId="0" borderId="0" xfId="0" applyFont="1" applyAlignment="1" applyProtection="1">
      <alignment horizontal="center" vertical="center"/>
      <protection hidden="1"/>
    </xf>
    <xf numFmtId="0" fontId="42" fillId="0" borderId="0" xfId="0" applyFont="1" applyAlignment="1" applyProtection="1">
      <alignment vertical="center" wrapText="1"/>
      <protection hidden="1"/>
    </xf>
    <xf numFmtId="0" fontId="49" fillId="0" borderId="0" xfId="0" applyFont="1" applyAlignment="1" applyProtection="1">
      <alignment vertical="center" wrapText="1"/>
      <protection hidden="1"/>
    </xf>
    <xf numFmtId="191" fontId="42" fillId="0" borderId="0" xfId="0" applyNumberFormat="1" applyFont="1" applyAlignment="1" applyProtection="1">
      <alignment horizontal="right" vertical="top" wrapText="1"/>
      <protection hidden="1"/>
    </xf>
    <xf numFmtId="191" fontId="49" fillId="0" borderId="0" xfId="0" applyNumberFormat="1" applyFont="1" applyAlignment="1" applyProtection="1">
      <alignment horizontal="right" vertical="top" wrapText="1"/>
      <protection hidden="1"/>
    </xf>
    <xf numFmtId="191" fontId="42" fillId="0" borderId="0" xfId="0" applyNumberFormat="1" applyFont="1" applyAlignment="1" applyProtection="1">
      <alignment vertical="top" wrapText="1"/>
      <protection hidden="1"/>
    </xf>
    <xf numFmtId="191" fontId="49" fillId="0" borderId="0" xfId="0" applyNumberFormat="1" applyFont="1" applyAlignment="1" applyProtection="1">
      <alignment vertical="top" wrapText="1"/>
      <protection hidden="1"/>
    </xf>
    <xf numFmtId="0" fontId="0" fillId="0" borderId="58" xfId="0" applyFill="1" applyBorder="1" applyAlignment="1" applyProtection="1">
      <alignment/>
      <protection hidden="1"/>
    </xf>
    <xf numFmtId="0" fontId="0" fillId="0" borderId="61" xfId="0" applyFill="1" applyBorder="1" applyAlignment="1" applyProtection="1">
      <alignment/>
      <protection hidden="1"/>
    </xf>
    <xf numFmtId="0" fontId="46" fillId="0" borderId="61" xfId="0" applyFont="1" applyFill="1" applyBorder="1" applyAlignment="1" applyProtection="1">
      <alignment vertical="center"/>
      <protection hidden="1"/>
    </xf>
    <xf numFmtId="0" fontId="0" fillId="0" borderId="64" xfId="0" applyFill="1" applyBorder="1" applyAlignment="1" applyProtection="1">
      <alignment/>
      <protection hidden="1"/>
    </xf>
    <xf numFmtId="0" fontId="46" fillId="0" borderId="64"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167" fontId="7" fillId="0" borderId="24" xfId="0" applyNumberFormat="1" applyFont="1" applyFill="1" applyBorder="1" applyAlignment="1" applyProtection="1">
      <alignment horizontal="center" vertical="center"/>
      <protection hidden="1"/>
    </xf>
    <xf numFmtId="0" fontId="0" fillId="5" borderId="0" xfId="0" applyFill="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167" fontId="7" fillId="0" borderId="26" xfId="0" applyNumberFormat="1" applyFont="1" applyFill="1" applyBorder="1" applyAlignment="1" applyProtection="1">
      <alignment horizontal="centerContinuous" vertical="center"/>
      <protection hidden="1"/>
    </xf>
    <xf numFmtId="167" fontId="7" fillId="0" borderId="21" xfId="0" applyNumberFormat="1" applyFont="1" applyFill="1" applyBorder="1" applyAlignment="1" applyProtection="1">
      <alignment horizontal="centerContinuous" vertical="center"/>
      <protection hidden="1"/>
    </xf>
    <xf numFmtId="167" fontId="7" fillId="0" borderId="26" xfId="0" applyNumberFormat="1" applyFont="1" applyFill="1" applyBorder="1" applyAlignment="1" applyProtection="1">
      <alignment horizontal="center" vertical="center"/>
      <protection hidden="1"/>
    </xf>
    <xf numFmtId="167" fontId="7" fillId="0" borderId="34" xfId="0" applyNumberFormat="1" applyFont="1" applyFill="1" applyBorder="1" applyAlignment="1" applyProtection="1">
      <alignment horizontal="center" vertical="center"/>
      <protection hidden="1"/>
    </xf>
    <xf numFmtId="167" fontId="7" fillId="0" borderId="24" xfId="0" applyNumberFormat="1" applyFont="1" applyFill="1" applyBorder="1" applyAlignment="1" applyProtection="1">
      <alignment horizontal="centerContinuous" vertical="center"/>
      <protection hidden="1"/>
    </xf>
    <xf numFmtId="167" fontId="7" fillId="0" borderId="26" xfId="0" applyNumberFormat="1" applyFont="1" applyFill="1" applyBorder="1" applyAlignment="1" applyProtection="1" quotePrefix="1">
      <alignment horizontal="center" vertical="center"/>
      <protection hidden="1"/>
    </xf>
    <xf numFmtId="177" fontId="7" fillId="0" borderId="23" xfId="0" applyNumberFormat="1" applyFont="1" applyFill="1" applyBorder="1" applyAlignment="1" applyProtection="1">
      <alignment horizontal="centerContinuous" vertical="center"/>
      <protection hidden="1"/>
    </xf>
    <xf numFmtId="167" fontId="7" fillId="0" borderId="34" xfId="0" applyNumberFormat="1" applyFont="1" applyFill="1" applyBorder="1" applyAlignment="1" applyProtection="1">
      <alignment horizontal="centerContinuous" vertical="center"/>
      <protection hidden="1"/>
    </xf>
    <xf numFmtId="0" fontId="39" fillId="0" borderId="0"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167" fontId="42" fillId="2" borderId="0" xfId="0" applyNumberFormat="1" applyFont="1" applyFill="1" applyAlignment="1" applyProtection="1">
      <alignment horizontal="left" vertical="center"/>
      <protection hidden="1"/>
    </xf>
    <xf numFmtId="0" fontId="8" fillId="0" borderId="0" xfId="0" applyFont="1" applyAlignment="1" applyProtection="1">
      <alignment/>
      <protection hidden="1"/>
    </xf>
    <xf numFmtId="0" fontId="25" fillId="0" borderId="0" xfId="0" applyFont="1" applyAlignment="1" applyProtection="1">
      <alignment vertical="center"/>
      <protection hidden="1"/>
    </xf>
    <xf numFmtId="0" fontId="25" fillId="0" borderId="0" xfId="0" applyFont="1" applyBorder="1" applyAlignment="1" applyProtection="1">
      <alignment vertical="center"/>
      <protection hidden="1"/>
    </xf>
    <xf numFmtId="0" fontId="42" fillId="0" borderId="0" xfId="0" applyFont="1" applyAlignment="1" applyProtection="1">
      <alignment horizontal="right" vertical="center"/>
      <protection hidden="1"/>
    </xf>
    <xf numFmtId="0" fontId="25" fillId="0" borderId="0" xfId="0" applyFont="1" applyAlignment="1" applyProtection="1">
      <alignment horizontal="left" vertical="center"/>
      <protection hidden="1"/>
    </xf>
    <xf numFmtId="0" fontId="11" fillId="0" borderId="0" xfId="0" applyFont="1" applyAlignment="1" applyProtection="1">
      <alignment/>
      <protection hidden="1"/>
    </xf>
    <xf numFmtId="167" fontId="20" fillId="0" borderId="0" xfId="0" applyNumberFormat="1" applyFont="1" applyAlignment="1" applyProtection="1">
      <alignment vertical="center"/>
      <protection hidden="1"/>
    </xf>
    <xf numFmtId="167" fontId="42" fillId="2" borderId="0" xfId="0" applyNumberFormat="1" applyFont="1" applyFill="1" applyAlignment="1" applyProtection="1">
      <alignment horizontal="right" vertical="center"/>
      <protection hidden="1"/>
    </xf>
    <xf numFmtId="167" fontId="42" fillId="0" borderId="0" xfId="0" applyNumberFormat="1" applyFont="1" applyAlignment="1" applyProtection="1">
      <alignment vertical="center"/>
      <protection hidden="1"/>
    </xf>
    <xf numFmtId="0" fontId="42" fillId="4" borderId="0" xfId="0" applyFont="1" applyFill="1" applyAlignment="1" applyProtection="1">
      <alignment horizontal="left" vertical="center"/>
      <protection hidden="1"/>
    </xf>
    <xf numFmtId="2" fontId="7" fillId="0" borderId="24" xfId="0" applyNumberFormat="1" applyFont="1" applyFill="1" applyBorder="1" applyAlignment="1" applyProtection="1">
      <alignment horizontal="center" vertical="center"/>
      <protection hidden="1"/>
    </xf>
    <xf numFmtId="166" fontId="7" fillId="0" borderId="23" xfId="0" applyNumberFormat="1" applyFont="1" applyFill="1" applyBorder="1" applyAlignment="1" applyProtection="1">
      <alignment horizontal="center" vertical="center"/>
      <protection hidden="1"/>
    </xf>
    <xf numFmtId="1" fontId="10" fillId="5" borderId="24" xfId="0" applyNumberFormat="1" applyFont="1" applyFill="1" applyBorder="1" applyAlignment="1" applyProtection="1">
      <alignment horizontal="center" vertical="center"/>
      <protection locked="0"/>
    </xf>
    <xf numFmtId="0" fontId="20" fillId="0" borderId="66" xfId="0" applyFont="1" applyBorder="1" applyAlignment="1" applyProtection="1">
      <alignment horizontal="center" vertical="center" wrapText="1"/>
      <protection hidden="1"/>
    </xf>
    <xf numFmtId="0" fontId="20" fillId="0" borderId="0" xfId="0" applyFont="1" applyAlignment="1" applyProtection="1">
      <alignment horizontal="right"/>
      <protection hidden="1"/>
    </xf>
    <xf numFmtId="1" fontId="20" fillId="0" borderId="0" xfId="0" applyNumberFormat="1" applyFont="1" applyAlignment="1" applyProtection="1">
      <alignment horizontal="left"/>
      <protection hidden="1"/>
    </xf>
    <xf numFmtId="167" fontId="20" fillId="0" borderId="0" xfId="0" applyNumberFormat="1" applyFont="1" applyAlignment="1" applyProtection="1">
      <alignment horizontal="left"/>
      <protection hidden="1"/>
    </xf>
    <xf numFmtId="167" fontId="42" fillId="0" borderId="0" xfId="0" applyNumberFormat="1" applyFont="1" applyAlignment="1" applyProtection="1">
      <alignment horizontal="center" vertical="center"/>
      <protection hidden="1"/>
    </xf>
    <xf numFmtId="0" fontId="20" fillId="6" borderId="0" xfId="0" applyFont="1" applyFill="1" applyAlignment="1" applyProtection="1">
      <alignment vertical="center"/>
      <protection hidden="1"/>
    </xf>
    <xf numFmtId="167" fontId="20" fillId="0" borderId="42" xfId="0" applyNumberFormat="1" applyFont="1" applyBorder="1" applyAlignment="1" applyProtection="1">
      <alignment horizontal="center" vertical="center"/>
      <protection hidden="1"/>
    </xf>
    <xf numFmtId="167" fontId="20" fillId="0" borderId="0" xfId="0" applyNumberFormat="1" applyFont="1" applyAlignment="1" applyProtection="1">
      <alignment horizontal="center" vertical="center"/>
      <protection hidden="1"/>
    </xf>
    <xf numFmtId="167" fontId="20" fillId="0" borderId="44" xfId="0" applyNumberFormat="1" applyFont="1" applyBorder="1" applyAlignment="1" applyProtection="1">
      <alignment horizontal="center" vertical="center"/>
      <protection hidden="1"/>
    </xf>
    <xf numFmtId="0" fontId="20" fillId="0" borderId="42" xfId="0" applyFont="1" applyBorder="1" applyAlignment="1" applyProtection="1">
      <alignment horizontal="center" vertical="center" wrapText="1"/>
      <protection hidden="1"/>
    </xf>
    <xf numFmtId="0" fontId="20" fillId="0" borderId="42" xfId="0" applyFont="1" applyBorder="1" applyAlignment="1" applyProtection="1">
      <alignment vertical="center" wrapText="1"/>
      <protection hidden="1"/>
    </xf>
    <xf numFmtId="167" fontId="20" fillId="0" borderId="42" xfId="0" applyNumberFormat="1" applyFont="1" applyBorder="1" applyAlignment="1" applyProtection="1">
      <alignment horizontal="center" vertical="center" wrapText="1"/>
      <protection hidden="1"/>
    </xf>
    <xf numFmtId="0" fontId="20" fillId="0" borderId="44" xfId="0" applyFont="1" applyBorder="1" applyAlignment="1" applyProtection="1">
      <alignment vertical="center" wrapText="1"/>
      <protection hidden="1"/>
    </xf>
    <xf numFmtId="167" fontId="20" fillId="0" borderId="44" xfId="0" applyNumberFormat="1" applyFont="1" applyBorder="1" applyAlignment="1" applyProtection="1">
      <alignment horizontal="center" vertical="center" wrapText="1"/>
      <protection hidden="1"/>
    </xf>
    <xf numFmtId="0" fontId="20" fillId="6" borderId="0" xfId="0" applyFont="1" applyFill="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horizontal="right" vertical="center"/>
      <protection hidden="1"/>
    </xf>
    <xf numFmtId="173" fontId="20" fillId="0" borderId="0" xfId="0" applyNumberFormat="1" applyFont="1" applyBorder="1" applyAlignment="1" applyProtection="1">
      <alignment horizontal="center" vertical="center"/>
      <protection hidden="1"/>
    </xf>
    <xf numFmtId="0" fontId="20" fillId="0" borderId="43" xfId="0" applyFont="1" applyBorder="1" applyAlignment="1" applyProtection="1">
      <alignment horizontal="center" vertical="center" wrapText="1"/>
      <protection hidden="1"/>
    </xf>
    <xf numFmtId="167" fontId="20" fillId="0" borderId="0" xfId="0" applyNumberFormat="1" applyFont="1" applyAlignment="1" applyProtection="1">
      <alignment horizontal="center"/>
      <protection hidden="1"/>
    </xf>
    <xf numFmtId="0" fontId="20" fillId="0" borderId="45"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42" fillId="2" borderId="67" xfId="0" applyFont="1" applyFill="1" applyBorder="1" applyAlignment="1" applyProtection="1">
      <alignment horizontal="right" vertical="center"/>
      <protection hidden="1"/>
    </xf>
    <xf numFmtId="167" fontId="42" fillId="2" borderId="68" xfId="0" applyNumberFormat="1" applyFont="1" applyFill="1" applyBorder="1" applyAlignment="1" applyProtection="1">
      <alignment horizontal="left" vertical="center"/>
      <protection hidden="1"/>
    </xf>
    <xf numFmtId="167" fontId="20" fillId="0" borderId="0" xfId="0" applyNumberFormat="1" applyFont="1" applyAlignment="1" applyProtection="1">
      <alignment horizontal="left" vertical="center"/>
      <protection hidden="1"/>
    </xf>
    <xf numFmtId="2" fontId="20" fillId="0" borderId="0" xfId="0" applyNumberFormat="1" applyFont="1" applyAlignment="1" applyProtection="1">
      <alignment horizontal="left" vertical="center"/>
      <protection hidden="1"/>
    </xf>
    <xf numFmtId="192" fontId="42" fillId="0" borderId="0" xfId="0" applyNumberFormat="1" applyFont="1" applyAlignment="1" applyProtection="1">
      <alignment horizontal="center" vertical="center"/>
      <protection hidden="1"/>
    </xf>
    <xf numFmtId="167" fontId="42" fillId="2" borderId="68" xfId="0" applyNumberFormat="1" applyFont="1" applyFill="1" applyBorder="1" applyAlignment="1" applyProtection="1">
      <alignment horizontal="center" vertical="center"/>
      <protection hidden="1"/>
    </xf>
    <xf numFmtId="0" fontId="20" fillId="0" borderId="46" xfId="0" applyFont="1" applyBorder="1" applyAlignment="1" applyProtection="1">
      <alignment horizontal="center" vertical="center" wrapText="1"/>
      <protection hidden="1"/>
    </xf>
    <xf numFmtId="0" fontId="20" fillId="0" borderId="69" xfId="0" applyFont="1" applyBorder="1" applyAlignment="1" applyProtection="1">
      <alignment horizontal="center" vertical="center" wrapText="1"/>
      <protection hidden="1"/>
    </xf>
    <xf numFmtId="0" fontId="20" fillId="0" borderId="70"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42" fillId="0" borderId="0" xfId="0" applyFont="1" applyBorder="1" applyAlignment="1" applyProtection="1">
      <alignment horizontal="center" vertical="center"/>
      <protection hidden="1"/>
    </xf>
    <xf numFmtId="0" fontId="20" fillId="0" borderId="0" xfId="0" applyFont="1" applyAlignment="1" applyProtection="1">
      <alignment horizontal="center" vertical="center" wrapText="1"/>
      <protection hidden="1"/>
    </xf>
    <xf numFmtId="167" fontId="42" fillId="0" borderId="0" xfId="0" applyNumberFormat="1" applyFont="1" applyAlignment="1" applyProtection="1">
      <alignment horizontal="right" vertical="center"/>
      <protection hidden="1"/>
    </xf>
    <xf numFmtId="167" fontId="42" fillId="0" borderId="0" xfId="0" applyNumberFormat="1" applyFont="1" applyAlignment="1" applyProtection="1">
      <alignment horizontal="left" vertical="center"/>
      <protection hidden="1"/>
    </xf>
    <xf numFmtId="167" fontId="20" fillId="0" borderId="0" xfId="0" applyNumberFormat="1" applyFont="1" applyAlignment="1" applyProtection="1">
      <alignment/>
      <protection hidden="1"/>
    </xf>
    <xf numFmtId="167" fontId="20" fillId="0" borderId="0" xfId="0" applyNumberFormat="1" applyFont="1" applyAlignment="1" applyProtection="1">
      <alignment horizontal="right" vertical="center"/>
      <protection hidden="1"/>
    </xf>
    <xf numFmtId="179" fontId="20" fillId="0" borderId="0" xfId="0" applyNumberFormat="1" applyFont="1" applyAlignment="1" applyProtection="1">
      <alignment horizontal="left" vertical="center"/>
      <protection hidden="1"/>
    </xf>
    <xf numFmtId="166" fontId="20" fillId="0" borderId="0" xfId="0" applyNumberFormat="1" applyFont="1" applyAlignment="1" applyProtection="1">
      <alignment horizontal="right" vertical="center"/>
      <protection hidden="1"/>
    </xf>
    <xf numFmtId="1" fontId="20" fillId="0" borderId="0" xfId="0" applyNumberFormat="1" applyFont="1" applyAlignment="1" applyProtection="1">
      <alignment horizontal="right" vertical="center"/>
      <protection hidden="1"/>
    </xf>
    <xf numFmtId="1" fontId="20" fillId="0" borderId="0" xfId="0" applyNumberFormat="1" applyFont="1" applyAlignment="1" applyProtection="1">
      <alignment horizontal="left" vertical="center"/>
      <protection hidden="1"/>
    </xf>
    <xf numFmtId="2" fontId="20" fillId="0" borderId="42" xfId="0" applyNumberFormat="1"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2" fontId="20" fillId="0" borderId="0" xfId="0" applyNumberFormat="1" applyFont="1" applyBorder="1" applyAlignment="1" applyProtection="1">
      <alignment horizontal="center" vertical="center" wrapText="1"/>
      <protection hidden="1"/>
    </xf>
    <xf numFmtId="0" fontId="20" fillId="0" borderId="48" xfId="0" applyFont="1" applyBorder="1" applyAlignment="1" applyProtection="1">
      <alignment horizontal="center" vertical="center" wrapText="1"/>
      <protection hidden="1"/>
    </xf>
    <xf numFmtId="167" fontId="20" fillId="0" borderId="0" xfId="0" applyNumberFormat="1" applyFont="1" applyBorder="1" applyAlignment="1" applyProtection="1">
      <alignment horizontal="center" vertical="center"/>
      <protection hidden="1"/>
    </xf>
    <xf numFmtId="167" fontId="49" fillId="0" borderId="42" xfId="0" applyNumberFormat="1" applyFont="1" applyBorder="1" applyAlignment="1" applyProtection="1">
      <alignment horizontal="center" vertical="center"/>
      <protection hidden="1"/>
    </xf>
    <xf numFmtId="167" fontId="42" fillId="0" borderId="0" xfId="0" applyNumberFormat="1" applyFont="1" applyBorder="1" applyAlignment="1" applyProtection="1">
      <alignment horizontal="right" vertical="center"/>
      <protection hidden="1"/>
    </xf>
    <xf numFmtId="167" fontId="49" fillId="0" borderId="0" xfId="0" applyNumberFormat="1" applyFont="1" applyAlignment="1" applyProtection="1">
      <alignment vertical="center"/>
      <protection hidden="1"/>
    </xf>
    <xf numFmtId="1" fontId="20" fillId="0" borderId="42" xfId="0" applyNumberFormat="1" applyFont="1" applyBorder="1" applyAlignment="1" applyProtection="1">
      <alignment horizontal="center" vertical="center"/>
      <protection hidden="1"/>
    </xf>
    <xf numFmtId="167" fontId="20" fillId="0" borderId="46" xfId="0" applyNumberFormat="1" applyFont="1" applyBorder="1" applyAlignment="1" applyProtection="1">
      <alignment vertical="center"/>
      <protection hidden="1"/>
    </xf>
    <xf numFmtId="167" fontId="20" fillId="0" borderId="71" xfId="0" applyNumberFormat="1" applyFont="1" applyBorder="1" applyAlignment="1" applyProtection="1">
      <alignment vertical="center"/>
      <protection hidden="1"/>
    </xf>
    <xf numFmtId="167" fontId="20" fillId="0" borderId="70" xfId="0" applyNumberFormat="1" applyFont="1" applyBorder="1" applyAlignment="1" applyProtection="1">
      <alignment vertical="center"/>
      <protection hidden="1"/>
    </xf>
    <xf numFmtId="167" fontId="20" fillId="0" borderId="42" xfId="0" applyNumberFormat="1" applyFont="1" applyBorder="1" applyAlignment="1" applyProtection="1">
      <alignment vertical="center"/>
      <protection hidden="1"/>
    </xf>
    <xf numFmtId="0" fontId="20" fillId="0" borderId="72" xfId="0" applyFont="1" applyBorder="1" applyAlignment="1" applyProtection="1">
      <alignment horizontal="center" vertical="center" wrapText="1"/>
      <protection hidden="1"/>
    </xf>
    <xf numFmtId="0" fontId="20" fillId="0" borderId="73" xfId="0" applyFont="1" applyBorder="1" applyAlignment="1" applyProtection="1">
      <alignment horizontal="center" vertical="center" wrapText="1"/>
      <protection hidden="1"/>
    </xf>
    <xf numFmtId="167" fontId="20" fillId="0" borderId="0" xfId="0" applyNumberFormat="1" applyFont="1" applyAlignment="1" applyProtection="1">
      <alignment horizontal="center" vertical="center" wrapText="1"/>
      <protection hidden="1"/>
    </xf>
    <xf numFmtId="0" fontId="20" fillId="0" borderId="74" xfId="0" applyFont="1" applyBorder="1" applyAlignment="1" applyProtection="1">
      <alignment horizontal="center" vertical="center" wrapText="1"/>
      <protection hidden="1"/>
    </xf>
    <xf numFmtId="0" fontId="20" fillId="0" borderId="75" xfId="0" applyFont="1" applyBorder="1" applyAlignment="1" applyProtection="1">
      <alignment horizontal="center" vertical="center" wrapText="1"/>
      <protection hidden="1"/>
    </xf>
    <xf numFmtId="0" fontId="20" fillId="0" borderId="0" xfId="0" applyFont="1" applyAlignment="1" applyProtection="1">
      <alignment/>
      <protection hidden="1"/>
    </xf>
    <xf numFmtId="0" fontId="42" fillId="4" borderId="0" xfId="0" applyFont="1" applyFill="1" applyAlignment="1" applyProtection="1">
      <alignment vertical="center"/>
      <protection hidden="1"/>
    </xf>
    <xf numFmtId="0" fontId="42" fillId="0" borderId="0" xfId="0" applyFont="1" applyAlignment="1" applyProtection="1">
      <alignment horizontal="right"/>
      <protection hidden="1"/>
    </xf>
    <xf numFmtId="0" fontId="20" fillId="0" borderId="0" xfId="0" applyFont="1" applyAlignment="1" applyProtection="1">
      <alignment horizontal="center"/>
      <protection hidden="1"/>
    </xf>
    <xf numFmtId="0" fontId="42" fillId="2" borderId="0" xfId="0" applyFont="1" applyFill="1" applyBorder="1" applyAlignment="1" applyProtection="1">
      <alignment horizontal="right" vertical="center"/>
      <protection hidden="1"/>
    </xf>
    <xf numFmtId="167" fontId="42" fillId="2" borderId="0" xfId="0" applyNumberFormat="1" applyFont="1" applyFill="1" applyBorder="1" applyAlignment="1" applyProtection="1">
      <alignment horizontal="left" vertical="center"/>
      <protection hidden="1"/>
    </xf>
    <xf numFmtId="168" fontId="20" fillId="0" borderId="0" xfId="0" applyNumberFormat="1" applyFont="1" applyAlignment="1" applyProtection="1">
      <alignment horizontal="left"/>
      <protection hidden="1"/>
    </xf>
    <xf numFmtId="0" fontId="20" fillId="0" borderId="0" xfId="0" applyFont="1" applyAlignment="1" applyProtection="1">
      <alignment horizontal="left"/>
      <protection hidden="1"/>
    </xf>
    <xf numFmtId="0" fontId="42" fillId="4" borderId="67" xfId="0" applyFont="1" applyFill="1" applyBorder="1" applyAlignment="1" applyProtection="1">
      <alignment horizontal="right" vertical="center"/>
      <protection hidden="1"/>
    </xf>
    <xf numFmtId="0" fontId="16" fillId="0" borderId="0" xfId="0" applyFont="1" applyFill="1" applyBorder="1" applyAlignment="1" applyProtection="1">
      <alignment horizontal="left" vertical="center"/>
      <protection hidden="1"/>
    </xf>
    <xf numFmtId="0" fontId="34" fillId="4" borderId="67" xfId="0" applyFont="1" applyFill="1" applyBorder="1" applyAlignment="1" applyProtection="1">
      <alignment horizontal="right" vertical="center"/>
      <protection hidden="1"/>
    </xf>
    <xf numFmtId="173" fontId="20" fillId="0" borderId="0" xfId="0" applyNumberFormat="1" applyFont="1" applyBorder="1" applyAlignment="1" applyProtection="1">
      <alignment horizontal="left" vertical="center"/>
      <protection hidden="1"/>
    </xf>
    <xf numFmtId="192" fontId="42" fillId="4" borderId="68" xfId="0" applyNumberFormat="1" applyFont="1" applyFill="1" applyBorder="1" applyAlignment="1" applyProtection="1">
      <alignment horizontal="left" vertical="center"/>
      <protection hidden="1"/>
    </xf>
    <xf numFmtId="0" fontId="42" fillId="4" borderId="67" xfId="0" applyFont="1" applyFill="1" applyBorder="1" applyAlignment="1" applyProtection="1">
      <alignment horizontal="right"/>
      <protection hidden="1"/>
    </xf>
    <xf numFmtId="192" fontId="42" fillId="4" borderId="68" xfId="0" applyNumberFormat="1" applyFont="1" applyFill="1" applyBorder="1" applyAlignment="1" applyProtection="1">
      <alignment horizontal="right"/>
      <protection hidden="1"/>
    </xf>
    <xf numFmtId="192" fontId="42" fillId="4" borderId="68" xfId="0" applyNumberFormat="1" applyFont="1" applyFill="1" applyBorder="1" applyAlignment="1" applyProtection="1">
      <alignment vertical="center"/>
      <protection hidden="1"/>
    </xf>
    <xf numFmtId="0" fontId="42" fillId="2" borderId="67" xfId="0" applyFont="1" applyFill="1" applyBorder="1" applyAlignment="1" applyProtection="1">
      <alignment horizontal="right"/>
      <protection hidden="1"/>
    </xf>
    <xf numFmtId="0" fontId="42" fillId="2" borderId="68" xfId="0" applyFont="1" applyFill="1" applyBorder="1" applyAlignment="1" applyProtection="1">
      <alignment/>
      <protection hidden="1"/>
    </xf>
    <xf numFmtId="0" fontId="34" fillId="2" borderId="67" xfId="0" applyFont="1" applyFill="1" applyBorder="1" applyAlignment="1" applyProtection="1">
      <alignment horizontal="right"/>
      <protection hidden="1"/>
    </xf>
    <xf numFmtId="0" fontId="42" fillId="2" borderId="68" xfId="0" applyFont="1" applyFill="1" applyBorder="1" applyAlignment="1" applyProtection="1">
      <alignment horizontal="left"/>
      <protection hidden="1"/>
    </xf>
    <xf numFmtId="0" fontId="42" fillId="0" borderId="0" xfId="0" applyFont="1" applyAlignment="1" applyProtection="1">
      <alignment horizontal="left"/>
      <protection hidden="1"/>
    </xf>
    <xf numFmtId="0" fontId="42" fillId="4" borderId="68" xfId="0" applyFont="1" applyFill="1" applyBorder="1" applyAlignment="1" applyProtection="1">
      <alignment horizontal="left"/>
      <protection hidden="1"/>
    </xf>
    <xf numFmtId="167" fontId="20" fillId="0" borderId="5" xfId="0" applyNumberFormat="1" applyFont="1" applyBorder="1" applyAlignment="1" applyProtection="1">
      <alignment vertical="center"/>
      <protection hidden="1"/>
    </xf>
    <xf numFmtId="0" fontId="20" fillId="6" borderId="5" xfId="0" applyFont="1" applyFill="1" applyBorder="1" applyAlignment="1" applyProtection="1">
      <alignment vertical="center"/>
      <protection hidden="1"/>
    </xf>
    <xf numFmtId="0" fontId="20" fillId="6" borderId="76" xfId="0" applyFont="1" applyFill="1" applyBorder="1" applyAlignment="1" applyProtection="1">
      <alignment vertical="center"/>
      <protection hidden="1"/>
    </xf>
    <xf numFmtId="167" fontId="16" fillId="0" borderId="0" xfId="0" applyNumberFormat="1" applyFont="1" applyAlignment="1" applyProtection="1">
      <alignment horizontal="right" vertical="center"/>
      <protection hidden="1"/>
    </xf>
    <xf numFmtId="167" fontId="42" fillId="0" borderId="0" xfId="0" applyNumberFormat="1" applyFont="1" applyBorder="1" applyAlignment="1" applyProtection="1">
      <alignment horizontal="left" vertical="center"/>
      <protection hidden="1"/>
    </xf>
    <xf numFmtId="167" fontId="20" fillId="0" borderId="0" xfId="0" applyNumberFormat="1" applyFont="1" applyBorder="1" applyAlignment="1" applyProtection="1">
      <alignment vertical="center"/>
      <protection hidden="1"/>
    </xf>
    <xf numFmtId="167" fontId="42" fillId="0" borderId="0" xfId="0" applyNumberFormat="1" applyFont="1" applyBorder="1" applyAlignment="1" applyProtection="1">
      <alignment vertical="center"/>
      <protection hidden="1"/>
    </xf>
    <xf numFmtId="0" fontId="20" fillId="0" borderId="0" xfId="0" applyFont="1" applyBorder="1" applyAlignment="1" applyProtection="1">
      <alignment horizontal="center" vertical="center"/>
      <protection hidden="1"/>
    </xf>
    <xf numFmtId="167" fontId="20" fillId="0" borderId="0" xfId="0" applyNumberFormat="1" applyFont="1" applyBorder="1" applyAlignment="1" applyProtection="1">
      <alignment horizontal="left" vertical="center"/>
      <protection hidden="1"/>
    </xf>
    <xf numFmtId="167" fontId="20" fillId="0" borderId="0" xfId="0" applyNumberFormat="1" applyFont="1" applyBorder="1" applyAlignment="1" applyProtection="1">
      <alignment horizontal="right" vertical="center"/>
      <protection hidden="1"/>
    </xf>
    <xf numFmtId="179" fontId="20" fillId="0" borderId="0" xfId="0" applyNumberFormat="1" applyFont="1" applyBorder="1" applyAlignment="1" applyProtection="1">
      <alignment vertical="center"/>
      <protection hidden="1"/>
    </xf>
    <xf numFmtId="167" fontId="20" fillId="0" borderId="46" xfId="0" applyNumberFormat="1" applyFont="1" applyBorder="1" applyAlignment="1" applyProtection="1">
      <alignment horizontal="center" vertical="center"/>
      <protection hidden="1"/>
    </xf>
    <xf numFmtId="167" fontId="20" fillId="0" borderId="70" xfId="0" applyNumberFormat="1" applyFont="1" applyBorder="1" applyAlignment="1" applyProtection="1">
      <alignment horizontal="center" vertical="center"/>
      <protection hidden="1"/>
    </xf>
    <xf numFmtId="167" fontId="42" fillId="2" borderId="0" xfId="0" applyNumberFormat="1" applyFont="1" applyFill="1" applyBorder="1" applyAlignment="1" applyProtection="1">
      <alignment horizontal="right" vertical="center"/>
      <protection hidden="1"/>
    </xf>
    <xf numFmtId="1" fontId="20" fillId="0" borderId="46" xfId="0" applyNumberFormat="1" applyFont="1" applyBorder="1" applyAlignment="1" applyProtection="1">
      <alignment horizontal="center" vertical="center"/>
      <protection hidden="1"/>
    </xf>
    <xf numFmtId="167" fontId="20" fillId="0" borderId="0" xfId="0" applyNumberFormat="1" applyFont="1" applyBorder="1" applyAlignment="1" applyProtection="1">
      <alignment horizontal="center" vertical="center" wrapText="1"/>
      <protection hidden="1"/>
    </xf>
    <xf numFmtId="167" fontId="16" fillId="0" borderId="0" xfId="0" applyNumberFormat="1"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42" fillId="0" borderId="0" xfId="0" applyFont="1" applyBorder="1" applyAlignment="1" applyProtection="1">
      <alignment/>
      <protection hidden="1"/>
    </xf>
    <xf numFmtId="0" fontId="42" fillId="0" borderId="0" xfId="0" applyFont="1" applyBorder="1" applyAlignment="1" applyProtection="1">
      <alignment horizontal="right"/>
      <protection hidden="1"/>
    </xf>
    <xf numFmtId="0" fontId="20" fillId="0" borderId="0" xfId="0" applyFont="1" applyBorder="1" applyAlignment="1" applyProtection="1">
      <alignment horizontal="right"/>
      <protection hidden="1"/>
    </xf>
    <xf numFmtId="169" fontId="20" fillId="0" borderId="0" xfId="0" applyNumberFormat="1" applyFont="1" applyBorder="1" applyAlignment="1" applyProtection="1">
      <alignment horizontal="left" vertical="center"/>
      <protection hidden="1"/>
    </xf>
    <xf numFmtId="169" fontId="20" fillId="0" borderId="0" xfId="0" applyNumberFormat="1" applyFont="1" applyAlignment="1" applyProtection="1">
      <alignment horizontal="left" vertical="center"/>
      <protection hidden="1"/>
    </xf>
    <xf numFmtId="167" fontId="42" fillId="2" borderId="67" xfId="0" applyNumberFormat="1" applyFont="1" applyFill="1" applyBorder="1" applyAlignment="1" applyProtection="1">
      <alignment horizontal="right" vertical="center"/>
      <protection hidden="1"/>
    </xf>
    <xf numFmtId="167" fontId="42" fillId="0" borderId="0" xfId="0" applyNumberFormat="1" applyFont="1" applyFill="1" applyAlignment="1" applyProtection="1">
      <alignment horizontal="right" vertical="center"/>
      <protection hidden="1"/>
    </xf>
    <xf numFmtId="1" fontId="42" fillId="0" borderId="0" xfId="0" applyNumberFormat="1" applyFont="1" applyFill="1" applyAlignment="1" applyProtection="1">
      <alignment horizontal="left" vertical="center"/>
      <protection hidden="1"/>
    </xf>
    <xf numFmtId="167" fontId="42" fillId="0" borderId="0" xfId="0" applyNumberFormat="1" applyFont="1" applyFill="1" applyAlignment="1" applyProtection="1">
      <alignment horizontal="left" vertical="center"/>
      <protection hidden="1"/>
    </xf>
    <xf numFmtId="167" fontId="20" fillId="0" borderId="0" xfId="0" applyNumberFormat="1" applyFont="1" applyFill="1" applyAlignment="1" applyProtection="1">
      <alignment vertical="center"/>
      <protection hidden="1"/>
    </xf>
    <xf numFmtId="167" fontId="42" fillId="0" borderId="0" xfId="0" applyNumberFormat="1" applyFont="1" applyFill="1" applyBorder="1" applyAlignment="1" applyProtection="1">
      <alignment horizontal="right" vertical="center"/>
      <protection hidden="1"/>
    </xf>
    <xf numFmtId="167" fontId="34" fillId="0" borderId="0" xfId="0" applyNumberFormat="1" applyFont="1" applyFill="1" applyAlignment="1" applyProtection="1">
      <alignment horizontal="right" vertical="center"/>
      <protection hidden="1"/>
    </xf>
    <xf numFmtId="167" fontId="42" fillId="0" borderId="0" xfId="0" applyNumberFormat="1" applyFont="1" applyFill="1" applyBorder="1" applyAlignment="1" applyProtection="1">
      <alignment horizontal="left" vertical="center"/>
      <protection hidden="1"/>
    </xf>
    <xf numFmtId="167" fontId="42" fillId="2" borderId="77" xfId="0" applyNumberFormat="1" applyFont="1" applyFill="1" applyBorder="1" applyAlignment="1" applyProtection="1">
      <alignment horizontal="right" vertical="center"/>
      <protection hidden="1"/>
    </xf>
    <xf numFmtId="167" fontId="42" fillId="2" borderId="78" xfId="0" applyNumberFormat="1" applyFont="1" applyFill="1" applyBorder="1" applyAlignment="1" applyProtection="1">
      <alignment horizontal="left" vertical="center"/>
      <protection hidden="1"/>
    </xf>
    <xf numFmtId="167" fontId="16" fillId="0" borderId="36" xfId="0" applyNumberFormat="1" applyFont="1" applyBorder="1" applyAlignment="1" applyProtection="1">
      <alignment horizontal="center" vertical="center"/>
      <protection hidden="1"/>
    </xf>
    <xf numFmtId="168" fontId="25" fillId="0" borderId="0" xfId="0" applyNumberFormat="1" applyFont="1" applyBorder="1" applyAlignment="1" applyProtection="1" quotePrefix="1">
      <alignment horizontal="left" vertical="center"/>
      <protection hidden="1"/>
    </xf>
    <xf numFmtId="167" fontId="20" fillId="0" borderId="0" xfId="0" applyNumberFormat="1" applyFont="1" applyBorder="1" applyAlignment="1" applyProtection="1" quotePrefix="1">
      <alignment horizontal="left" vertical="center"/>
      <protection hidden="1"/>
    </xf>
    <xf numFmtId="167" fontId="20" fillId="0" borderId="0" xfId="0" applyNumberFormat="1" applyFont="1" applyBorder="1" applyAlignment="1" applyProtection="1">
      <alignment/>
      <protection hidden="1"/>
    </xf>
    <xf numFmtId="195" fontId="20" fillId="0" borderId="46" xfId="0" applyNumberFormat="1" applyFont="1" applyBorder="1" applyAlignment="1" applyProtection="1">
      <alignment horizontal="center" vertical="center" wrapText="1"/>
      <protection hidden="1"/>
    </xf>
    <xf numFmtId="196" fontId="20" fillId="0" borderId="46" xfId="0" applyNumberFormat="1" applyFont="1" applyBorder="1" applyAlignment="1" applyProtection="1">
      <alignment horizontal="center" vertical="center" wrapText="1"/>
      <protection hidden="1"/>
    </xf>
    <xf numFmtId="1" fontId="42" fillId="2" borderId="0" xfId="0" applyNumberFormat="1" applyFont="1" applyFill="1" applyBorder="1" applyAlignment="1" applyProtection="1">
      <alignment horizontal="center" vertical="center"/>
      <protection hidden="1"/>
    </xf>
    <xf numFmtId="1" fontId="42" fillId="0" borderId="0" xfId="0" applyNumberFormat="1" applyFont="1" applyBorder="1" applyAlignment="1" applyProtection="1">
      <alignment horizontal="center" vertical="center"/>
      <protection hidden="1"/>
    </xf>
    <xf numFmtId="0" fontId="20" fillId="0" borderId="0" xfId="0" applyFont="1" applyBorder="1" applyAlignment="1" applyProtection="1">
      <alignment/>
      <protection hidden="1"/>
    </xf>
    <xf numFmtId="168" fontId="20" fillId="0" borderId="0" xfId="0" applyNumberFormat="1" applyFont="1" applyBorder="1" applyAlignment="1" applyProtection="1" quotePrefix="1">
      <alignment horizontal="left" vertical="center"/>
      <protection hidden="1"/>
    </xf>
    <xf numFmtId="0" fontId="42" fillId="4" borderId="0" xfId="0" applyFont="1" applyFill="1" applyBorder="1" applyAlignment="1" applyProtection="1">
      <alignment vertical="center"/>
      <protection hidden="1"/>
    </xf>
    <xf numFmtId="1" fontId="42" fillId="2" borderId="0" xfId="0" applyNumberFormat="1" applyFont="1" applyFill="1" applyBorder="1" applyAlignment="1" applyProtection="1" quotePrefix="1">
      <alignment horizontal="center" vertical="center" wrapText="1"/>
      <protection hidden="1"/>
    </xf>
    <xf numFmtId="0" fontId="42" fillId="2" borderId="0" xfId="0" applyFont="1" applyFill="1" applyBorder="1" applyAlignment="1" applyProtection="1">
      <alignment horizontal="center" vertical="center"/>
      <protection hidden="1"/>
    </xf>
    <xf numFmtId="0" fontId="42" fillId="4" borderId="0" xfId="0" applyFont="1" applyFill="1" applyBorder="1" applyAlignment="1" applyProtection="1">
      <alignment horizontal="left" vertical="center"/>
      <protection hidden="1"/>
    </xf>
    <xf numFmtId="0" fontId="42" fillId="0" borderId="0" xfId="0" applyFont="1" applyBorder="1" applyAlignment="1" applyProtection="1">
      <alignment vertical="center"/>
      <protection hidden="1"/>
    </xf>
    <xf numFmtId="0" fontId="16" fillId="0" borderId="0" xfId="0" applyFont="1" applyBorder="1" applyAlignment="1" applyProtection="1">
      <alignment horizontal="right" vertical="center" wrapText="1"/>
      <protection hidden="1"/>
    </xf>
    <xf numFmtId="0" fontId="42" fillId="4" borderId="0" xfId="0" applyFont="1" applyFill="1" applyBorder="1" applyAlignment="1" applyProtection="1">
      <alignment horizontal="center" vertical="center"/>
      <protection hidden="1"/>
    </xf>
    <xf numFmtId="167" fontId="42" fillId="4" borderId="67" xfId="0" applyNumberFormat="1" applyFont="1" applyFill="1" applyBorder="1" applyAlignment="1" applyProtection="1">
      <alignment horizontal="right" vertical="center"/>
      <protection hidden="1"/>
    </xf>
    <xf numFmtId="167" fontId="42" fillId="4" borderId="68" xfId="0" applyNumberFormat="1" applyFont="1" applyFill="1" applyBorder="1" applyAlignment="1" applyProtection="1">
      <alignment horizontal="left" vertical="center"/>
      <protection hidden="1"/>
    </xf>
    <xf numFmtId="0" fontId="0" fillId="5" borderId="0" xfId="0" applyFont="1" applyFill="1" applyAlignment="1" applyProtection="1">
      <alignment vertical="center"/>
      <protection locked="0"/>
    </xf>
    <xf numFmtId="0" fontId="0" fillId="5" borderId="0" xfId="0" applyFont="1" applyFill="1" applyAlignment="1" applyProtection="1">
      <alignment horizontal="left" vertical="center"/>
      <protection locked="0"/>
    </xf>
    <xf numFmtId="1" fontId="20" fillId="0" borderId="0" xfId="0" applyNumberFormat="1" applyFont="1" applyBorder="1" applyAlignment="1" applyProtection="1">
      <alignment vertical="center"/>
      <protection hidden="1"/>
    </xf>
    <xf numFmtId="1" fontId="20" fillId="0" borderId="0" xfId="0" applyNumberFormat="1" applyFont="1" applyAlignment="1" applyProtection="1">
      <alignment vertical="center"/>
      <protection hidden="1"/>
    </xf>
    <xf numFmtId="0" fontId="20" fillId="0" borderId="0" xfId="0" applyFont="1" applyBorder="1" applyAlignment="1" applyProtection="1">
      <alignment horizontal="right" vertical="center" wrapText="1"/>
      <protection hidden="1"/>
    </xf>
    <xf numFmtId="167" fontId="20" fillId="0" borderId="0" xfId="0" applyNumberFormat="1" applyFont="1" applyBorder="1" applyAlignment="1" applyProtection="1">
      <alignment horizontal="left" vertical="center" wrapText="1"/>
      <protection hidden="1"/>
    </xf>
    <xf numFmtId="167" fontId="27" fillId="0" borderId="0" xfId="0" applyNumberFormat="1" applyFont="1" applyAlignment="1" applyProtection="1">
      <alignment horizontal="right" vertical="center"/>
      <protection hidden="1"/>
    </xf>
    <xf numFmtId="167" fontId="27" fillId="0" borderId="0" xfId="0" applyNumberFormat="1" applyFont="1" applyAlignment="1" applyProtection="1">
      <alignment horizontal="left" vertical="center"/>
      <protection hidden="1"/>
    </xf>
    <xf numFmtId="167" fontId="42" fillId="4" borderId="0" xfId="0" applyNumberFormat="1" applyFont="1" applyFill="1" applyBorder="1" applyAlignment="1" applyProtection="1">
      <alignment vertical="center"/>
      <protection hidden="1"/>
    </xf>
    <xf numFmtId="167" fontId="20" fillId="4" borderId="0" xfId="0" applyNumberFormat="1" applyFont="1" applyFill="1" applyAlignment="1" applyProtection="1">
      <alignment vertical="center"/>
      <protection hidden="1"/>
    </xf>
    <xf numFmtId="167" fontId="20" fillId="4" borderId="0" xfId="0" applyNumberFormat="1" applyFont="1" applyFill="1" applyBorder="1" applyAlignment="1" applyProtection="1">
      <alignment horizontal="left" vertical="center"/>
      <protection hidden="1"/>
    </xf>
    <xf numFmtId="167" fontId="20" fillId="0" borderId="42" xfId="0" applyNumberFormat="1" applyFont="1" applyBorder="1" applyAlignment="1" applyProtection="1" quotePrefix="1">
      <alignment horizontal="center" vertical="center"/>
      <protection hidden="1"/>
    </xf>
    <xf numFmtId="167" fontId="49" fillId="0" borderId="0" xfId="0" applyNumberFormat="1" applyFont="1" applyAlignment="1" applyProtection="1">
      <alignment horizontal="center" vertical="center"/>
      <protection hidden="1"/>
    </xf>
    <xf numFmtId="167" fontId="16" fillId="0" borderId="0" xfId="0" applyNumberFormat="1" applyFont="1" applyBorder="1" applyAlignment="1" applyProtection="1">
      <alignment horizontal="left" vertical="center"/>
      <protection hidden="1"/>
    </xf>
    <xf numFmtId="2" fontId="10" fillId="5" borderId="22" xfId="0" applyNumberFormat="1" applyFont="1" applyFill="1" applyBorder="1" applyAlignment="1" applyProtection="1">
      <alignment horizontal="center" vertical="center"/>
      <protection locked="0"/>
    </xf>
    <xf numFmtId="167" fontId="34" fillId="5" borderId="77" xfId="0" applyNumberFormat="1" applyFont="1" applyFill="1" applyBorder="1" applyAlignment="1" applyProtection="1">
      <alignment horizontal="right" vertical="center"/>
      <protection hidden="1"/>
    </xf>
    <xf numFmtId="168" fontId="42" fillId="5" borderId="78" xfId="0" applyNumberFormat="1" applyFont="1" applyFill="1" applyBorder="1" applyAlignment="1" applyProtection="1">
      <alignment horizontal="left" vertical="center"/>
      <protection hidden="1"/>
    </xf>
    <xf numFmtId="0" fontId="10" fillId="5" borderId="37" xfId="0" applyFont="1" applyFill="1" applyBorder="1" applyAlignment="1" applyProtection="1">
      <alignment horizontal="center" vertical="center"/>
      <protection locked="0"/>
    </xf>
    <xf numFmtId="0" fontId="22" fillId="5" borderId="24" xfId="0"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protection hidden="1"/>
    </xf>
    <xf numFmtId="0" fontId="20" fillId="0" borderId="44"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1"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wrapText="1"/>
      <protection hidden="1"/>
    </xf>
    <xf numFmtId="0" fontId="10" fillId="5" borderId="0" xfId="0" applyFont="1" applyFill="1" applyAlignment="1" applyProtection="1">
      <alignment horizontal="left" vertical="center"/>
      <protection locked="0"/>
    </xf>
    <xf numFmtId="172" fontId="7" fillId="2" borderId="18" xfId="0" applyNumberFormat="1" applyFont="1" applyFill="1" applyBorder="1" applyAlignment="1" applyProtection="1">
      <alignment horizontal="center" vertical="center"/>
      <protection hidden="1"/>
    </xf>
    <xf numFmtId="172" fontId="7" fillId="2" borderId="35" xfId="0" applyNumberFormat="1" applyFont="1" applyFill="1" applyBorder="1" applyAlignment="1" applyProtection="1">
      <alignment horizontal="center" vertical="center"/>
      <protection hidden="1"/>
    </xf>
    <xf numFmtId="0" fontId="22" fillId="5" borderId="0" xfId="0" applyFont="1" applyFill="1" applyAlignment="1" applyProtection="1">
      <alignment horizontal="left" vertical="top" wrapText="1"/>
      <protection locked="0"/>
    </xf>
    <xf numFmtId="0" fontId="20" fillId="0" borderId="0" xfId="0" applyFont="1" applyAlignment="1" applyProtection="1">
      <alignment horizontal="justify" vertical="top" wrapText="1"/>
      <protection hidden="1"/>
    </xf>
    <xf numFmtId="0" fontId="20"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49" fillId="0" borderId="0" xfId="0" applyFont="1" applyAlignment="1" applyProtection="1">
      <alignment horizontal="left" vertical="center" wrapText="1"/>
      <protection hidden="1"/>
    </xf>
    <xf numFmtId="0" fontId="20" fillId="0" borderId="0" xfId="0" applyFont="1" applyAlignment="1" applyProtection="1">
      <alignment horizontal="left" vertical="center"/>
      <protection hidden="1"/>
    </xf>
    <xf numFmtId="0" fontId="46" fillId="0" borderId="0" xfId="0" applyFont="1" applyAlignment="1" applyProtection="1">
      <alignment horizontal="center" vertical="center"/>
      <protection hidden="1"/>
    </xf>
    <xf numFmtId="0" fontId="7" fillId="2" borderId="0" xfId="0" applyFont="1" applyFill="1" applyAlignment="1" applyProtection="1">
      <alignment horizontal="center" vertical="top" wrapText="1"/>
      <protection hidden="1"/>
    </xf>
    <xf numFmtId="0" fontId="10" fillId="5" borderId="0" xfId="0" applyFont="1" applyFill="1" applyBorder="1" applyAlignment="1" applyProtection="1">
      <alignment horizontal="left" vertical="center"/>
      <protection locked="0"/>
    </xf>
    <xf numFmtId="0" fontId="42" fillId="0" borderId="0" xfId="0" applyFont="1" applyBorder="1" applyAlignment="1" applyProtection="1">
      <alignment horizontal="left" vertical="center" wrapText="1"/>
      <protection hidden="1"/>
    </xf>
    <xf numFmtId="0" fontId="49" fillId="0" borderId="0" xfId="0" applyFont="1" applyBorder="1" applyAlignment="1" applyProtection="1">
      <alignment horizontal="left" vertical="center" wrapText="1"/>
      <protection hidden="1"/>
    </xf>
    <xf numFmtId="0" fontId="47" fillId="5" borderId="79" xfId="0" applyFont="1" applyFill="1" applyBorder="1" applyAlignment="1" applyProtection="1">
      <alignment horizontal="center" vertical="center"/>
      <protection locked="0"/>
    </xf>
    <xf numFmtId="0" fontId="25" fillId="4" borderId="0" xfId="0" applyFont="1" applyFill="1" applyBorder="1" applyAlignment="1" applyProtection="1">
      <alignment horizontal="left" vertical="center" wrapText="1"/>
      <protection hidden="1"/>
    </xf>
    <xf numFmtId="0" fontId="46" fillId="5" borderId="80" xfId="0" applyFont="1" applyFill="1" applyBorder="1" applyAlignment="1" applyProtection="1">
      <alignment horizontal="center" vertical="center"/>
      <protection locked="0"/>
    </xf>
    <xf numFmtId="0" fontId="46" fillId="5" borderId="81" xfId="0" applyFont="1" applyFill="1" applyBorder="1" applyAlignment="1" applyProtection="1">
      <alignment horizontal="center" vertical="center"/>
      <protection locked="0"/>
    </xf>
    <xf numFmtId="0" fontId="46" fillId="5" borderId="82"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wrapText="1"/>
      <protection hidden="1"/>
    </xf>
    <xf numFmtId="0" fontId="20" fillId="0" borderId="0" xfId="0" applyFont="1" applyAlignment="1" applyProtection="1">
      <alignment horizontal="left" vertical="top" wrapText="1"/>
      <protection hidden="1"/>
    </xf>
    <xf numFmtId="0" fontId="45" fillId="0" borderId="83" xfId="0" applyFont="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7" fillId="5" borderId="84" xfId="0" applyFont="1" applyFill="1" applyBorder="1" applyAlignment="1" applyProtection="1">
      <alignment horizontal="center" vertical="center"/>
      <protection locked="0"/>
    </xf>
    <xf numFmtId="0" fontId="47" fillId="5" borderId="85" xfId="0" applyFont="1" applyFill="1" applyBorder="1" applyAlignment="1" applyProtection="1">
      <alignment horizontal="center" vertical="center"/>
      <protection locked="0"/>
    </xf>
    <xf numFmtId="0" fontId="20" fillId="0" borderId="46" xfId="0" applyFont="1" applyBorder="1" applyAlignment="1" applyProtection="1">
      <alignment horizontal="left" vertical="center" wrapText="1"/>
      <protection hidden="1"/>
    </xf>
    <xf numFmtId="0" fontId="20" fillId="0" borderId="71" xfId="0" applyFont="1" applyBorder="1" applyAlignment="1" applyProtection="1">
      <alignment horizontal="left" vertical="center" wrapText="1"/>
      <protection hidden="1"/>
    </xf>
    <xf numFmtId="0" fontId="20" fillId="0" borderId="70" xfId="0" applyFont="1" applyBorder="1" applyAlignment="1" applyProtection="1">
      <alignment horizontal="left" vertical="center" wrapText="1"/>
      <protection hidden="1"/>
    </xf>
    <xf numFmtId="0" fontId="20" fillId="0" borderId="46" xfId="0" applyFont="1" applyBorder="1" applyAlignment="1" applyProtection="1">
      <alignment horizontal="center" vertical="center" wrapText="1"/>
      <protection hidden="1"/>
    </xf>
    <xf numFmtId="0" fontId="20" fillId="0" borderId="71" xfId="0" applyFont="1" applyBorder="1" applyAlignment="1" applyProtection="1">
      <alignment horizontal="center" vertical="center" wrapText="1"/>
      <protection hidden="1"/>
    </xf>
    <xf numFmtId="0" fontId="20" fillId="0" borderId="70" xfId="0" applyFont="1" applyBorder="1" applyAlignment="1" applyProtection="1">
      <alignment horizontal="center" vertical="center" wrapText="1"/>
      <protection hidden="1"/>
    </xf>
    <xf numFmtId="0" fontId="20" fillId="0" borderId="1" xfId="0" applyFont="1" applyBorder="1" applyAlignment="1" applyProtection="1">
      <alignment horizontal="center" wrapText="1"/>
      <protection hidden="1"/>
    </xf>
    <xf numFmtId="0" fontId="20" fillId="0" borderId="2" xfId="0" applyFont="1" applyBorder="1" applyAlignment="1" applyProtection="1">
      <alignment horizontal="center" wrapText="1"/>
      <protection hidden="1"/>
    </xf>
    <xf numFmtId="0" fontId="20" fillId="0" borderId="9" xfId="0" applyFont="1" applyBorder="1" applyAlignment="1" applyProtection="1">
      <alignment horizontal="center" wrapText="1"/>
      <protection hidden="1"/>
    </xf>
    <xf numFmtId="0" fontId="20" fillId="0" borderId="5" xfId="0"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0" fontId="20" fillId="0" borderId="76" xfId="0" applyFont="1" applyBorder="1" applyAlignment="1" applyProtection="1">
      <alignment horizontal="center" wrapText="1"/>
      <protection hidden="1"/>
    </xf>
    <xf numFmtId="0" fontId="20" fillId="0" borderId="66" xfId="0" applyFont="1" applyBorder="1" applyAlignment="1" applyProtection="1">
      <alignment horizontal="center" vertical="center" wrapText="1"/>
      <protection hidden="1"/>
    </xf>
    <xf numFmtId="0" fontId="20" fillId="0" borderId="69" xfId="0" applyFont="1" applyBorder="1" applyAlignment="1" applyProtection="1">
      <alignment horizontal="center" vertical="center" wrapText="1"/>
      <protection hidden="1"/>
    </xf>
    <xf numFmtId="167" fontId="20" fillId="0" borderId="42" xfId="0" applyNumberFormat="1" applyFont="1" applyBorder="1" applyAlignment="1" applyProtection="1">
      <alignment horizontal="center" vertical="center"/>
      <protection hidden="1"/>
    </xf>
    <xf numFmtId="167" fontId="20" fillId="0" borderId="36" xfId="0" applyNumberFormat="1" applyFont="1" applyBorder="1" applyAlignment="1" applyProtection="1">
      <alignment horizontal="center" vertical="center"/>
      <protection hidden="1"/>
    </xf>
    <xf numFmtId="167" fontId="20" fillId="0" borderId="48" xfId="0" applyNumberFormat="1" applyFont="1" applyBorder="1" applyAlignment="1" applyProtection="1">
      <alignment horizontal="center" vertical="center"/>
      <protection hidden="1"/>
    </xf>
    <xf numFmtId="0" fontId="20" fillId="0" borderId="86" xfId="0" applyFont="1" applyBorder="1" applyAlignment="1" applyProtection="1">
      <alignment horizontal="center" vertical="center" wrapText="1"/>
      <protection hidden="1"/>
    </xf>
    <xf numFmtId="0" fontId="20" fillId="0" borderId="87" xfId="0" applyFont="1" applyBorder="1" applyAlignment="1" applyProtection="1">
      <alignment horizontal="center" vertical="center" wrapText="1"/>
      <protection hidden="1"/>
    </xf>
    <xf numFmtId="0" fontId="20" fillId="0" borderId="72"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73" xfId="0" applyFont="1" applyBorder="1" applyAlignment="1" applyProtection="1">
      <alignment horizontal="center" vertical="center" wrapText="1"/>
      <protection hidden="1"/>
    </xf>
    <xf numFmtId="0" fontId="20" fillId="0" borderId="88" xfId="0" applyFont="1" applyBorder="1" applyAlignment="1" applyProtection="1">
      <alignment horizontal="center" vertical="center" wrapText="1"/>
      <protection hidden="1"/>
    </xf>
    <xf numFmtId="0" fontId="20" fillId="0" borderId="89" xfId="0" applyFont="1" applyBorder="1" applyAlignment="1" applyProtection="1">
      <alignment horizontal="center" vertical="center" wrapText="1"/>
      <protection hidden="1"/>
    </xf>
    <xf numFmtId="0" fontId="20" fillId="0" borderId="90" xfId="0" applyFont="1" applyBorder="1" applyAlignment="1" applyProtection="1">
      <alignment horizontal="center" vertical="center" wrapText="1"/>
      <protection hidden="1"/>
    </xf>
    <xf numFmtId="0" fontId="20" fillId="0" borderId="91" xfId="0" applyFont="1" applyBorder="1" applyAlignment="1" applyProtection="1">
      <alignment horizontal="center" vertical="center" wrapText="1"/>
      <protection hidden="1"/>
    </xf>
    <xf numFmtId="0" fontId="20" fillId="0" borderId="91" xfId="0" applyFont="1" applyBorder="1" applyAlignment="1" applyProtection="1">
      <alignment horizontal="left" vertical="center"/>
      <protection hidden="1"/>
    </xf>
    <xf numFmtId="0" fontId="20" fillId="0" borderId="42" xfId="0" applyFont="1" applyBorder="1" applyAlignment="1" applyProtection="1">
      <alignment horizontal="left" vertical="center"/>
      <protection hidden="1"/>
    </xf>
    <xf numFmtId="0" fontId="20" fillId="0" borderId="92" xfId="0" applyFont="1" applyBorder="1" applyAlignment="1" applyProtection="1">
      <alignment horizontal="left" vertical="center"/>
      <protection hidden="1"/>
    </xf>
    <xf numFmtId="0" fontId="20" fillId="0" borderId="44" xfId="0" applyFont="1" applyBorder="1" applyAlignment="1" applyProtection="1">
      <alignment horizontal="left" vertical="center"/>
      <protection hidden="1"/>
    </xf>
    <xf numFmtId="0" fontId="20" fillId="0" borderId="93" xfId="0" applyFont="1" applyBorder="1" applyAlignment="1" applyProtection="1">
      <alignment horizontal="center" vertical="center" wrapText="1"/>
      <protection hidden="1"/>
    </xf>
    <xf numFmtId="0" fontId="20" fillId="0" borderId="74" xfId="0" applyFont="1" applyBorder="1" applyAlignment="1" applyProtection="1">
      <alignment horizontal="center" vertical="center" wrapText="1"/>
      <protection hidden="1"/>
    </xf>
    <xf numFmtId="0" fontId="42" fillId="4" borderId="0" xfId="0" applyFont="1" applyFill="1" applyAlignment="1" applyProtection="1">
      <alignment horizontal="left" vertical="center"/>
      <protection hidden="1"/>
    </xf>
    <xf numFmtId="0" fontId="20" fillId="0" borderId="92" xfId="0" applyFont="1" applyBorder="1" applyAlignment="1" applyProtection="1">
      <alignment horizontal="left" vertical="center" wrapText="1"/>
      <protection hidden="1"/>
    </xf>
    <xf numFmtId="0" fontId="20" fillId="0" borderId="44" xfId="0" applyFont="1" applyBorder="1" applyAlignment="1" applyProtection="1">
      <alignment horizontal="left" vertical="center" wrapText="1"/>
      <protection hidden="1"/>
    </xf>
    <xf numFmtId="0" fontId="20" fillId="0" borderId="44" xfId="0" applyFont="1" applyBorder="1" applyAlignment="1" applyProtection="1">
      <alignment horizontal="center" vertical="center"/>
      <protection hidden="1"/>
    </xf>
    <xf numFmtId="0" fontId="20" fillId="0" borderId="91" xfId="0" applyFont="1" applyBorder="1" applyAlignment="1" applyProtection="1">
      <alignment horizontal="left" vertical="center" wrapText="1"/>
      <protection hidden="1"/>
    </xf>
    <xf numFmtId="0" fontId="20" fillId="0" borderId="42" xfId="0" applyFont="1" applyBorder="1" applyAlignment="1" applyProtection="1">
      <alignment horizontal="left" vertical="center" wrapText="1"/>
      <protection hidden="1"/>
    </xf>
    <xf numFmtId="0" fontId="20" fillId="0" borderId="42" xfId="0" applyFont="1" applyBorder="1" applyAlignment="1" applyProtection="1">
      <alignment horizontal="center" vertical="center"/>
      <protection hidden="1"/>
    </xf>
    <xf numFmtId="0" fontId="20" fillId="0" borderId="92" xfId="0" applyFont="1" applyBorder="1" applyAlignment="1" applyProtection="1">
      <alignment horizontal="center" wrapText="1"/>
      <protection hidden="1"/>
    </xf>
    <xf numFmtId="0" fontId="20" fillId="0" borderId="44" xfId="0" applyFont="1" applyBorder="1" applyAlignment="1" applyProtection="1">
      <alignment horizontal="center" wrapText="1"/>
      <protection hidden="1"/>
    </xf>
    <xf numFmtId="0" fontId="20" fillId="0" borderId="45" xfId="0" applyFont="1" applyBorder="1" applyAlignment="1" applyProtection="1">
      <alignment horizontal="center" wrapText="1"/>
      <protection hidden="1"/>
    </xf>
    <xf numFmtId="0" fontId="20" fillId="0" borderId="43" xfId="0" applyFont="1" applyBorder="1" applyAlignment="1" applyProtection="1">
      <alignment horizontal="center" vertical="center"/>
      <protection hidden="1"/>
    </xf>
    <xf numFmtId="0" fontId="20" fillId="0" borderId="91" xfId="0" applyFont="1" applyBorder="1" applyAlignment="1" applyProtection="1">
      <alignment horizontal="center" wrapText="1"/>
      <protection hidden="1"/>
    </xf>
    <xf numFmtId="0" fontId="20" fillId="0" borderId="42" xfId="0" applyFont="1" applyBorder="1" applyAlignment="1" applyProtection="1">
      <alignment horizontal="center" wrapText="1"/>
      <protection hidden="1"/>
    </xf>
    <xf numFmtId="0" fontId="20" fillId="0" borderId="43" xfId="0" applyFont="1" applyBorder="1" applyAlignment="1" applyProtection="1">
      <alignment horizontal="center" wrapText="1"/>
      <protection hidden="1"/>
    </xf>
    <xf numFmtId="0" fontId="20" fillId="0" borderId="40" xfId="0" applyFont="1" applyBorder="1" applyAlignment="1" applyProtection="1">
      <alignment horizontal="center" wrapText="1"/>
      <protection hidden="1"/>
    </xf>
    <xf numFmtId="0" fontId="20" fillId="0" borderId="41" xfId="0" applyFont="1" applyBorder="1" applyAlignment="1" applyProtection="1">
      <alignment horizontal="center" wrapText="1"/>
      <protection hidden="1"/>
    </xf>
    <xf numFmtId="167" fontId="20" fillId="0" borderId="5" xfId="0" applyNumberFormat="1" applyFont="1" applyBorder="1" applyAlignment="1" applyProtection="1">
      <alignment horizontal="center" vertical="center"/>
      <protection hidden="1"/>
    </xf>
    <xf numFmtId="0" fontId="20" fillId="0" borderId="1" xfId="0"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167" fontId="20" fillId="0" borderId="14" xfId="0" applyNumberFormat="1" applyFont="1" applyBorder="1" applyAlignment="1" applyProtection="1">
      <alignment horizontal="center" vertical="center"/>
      <protection hidden="1"/>
    </xf>
    <xf numFmtId="0" fontId="20" fillId="0" borderId="9" xfId="0" applyFont="1" applyBorder="1" applyAlignment="1" applyProtection="1">
      <alignment horizontal="center" vertical="center" wrapText="1"/>
      <protection hidden="1"/>
    </xf>
    <xf numFmtId="0" fontId="20" fillId="0" borderId="94"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73" xfId="0" applyBorder="1" applyAlignment="1" applyProtection="1">
      <alignment/>
      <protection hidden="1"/>
    </xf>
    <xf numFmtId="0" fontId="7" fillId="0" borderId="14" xfId="0" applyFont="1" applyBorder="1" applyAlignment="1" applyProtection="1" quotePrefix="1">
      <alignment horizontal="center" vertical="center"/>
      <protection hidden="1"/>
    </xf>
    <xf numFmtId="2" fontId="8" fillId="0" borderId="4" xfId="0" applyNumberFormat="1" applyFont="1" applyFill="1" applyBorder="1" applyAlignment="1" applyProtection="1">
      <alignment horizontal="center" vertical="center"/>
      <protection hidden="1"/>
    </xf>
    <xf numFmtId="2" fontId="8" fillId="0" borderId="12" xfId="0" applyNumberFormat="1" applyFont="1" applyFill="1" applyBorder="1" applyAlignment="1" applyProtection="1">
      <alignment horizontal="center" vertical="center"/>
      <protection hidden="1"/>
    </xf>
    <xf numFmtId="0" fontId="8" fillId="4" borderId="2" xfId="0" applyFont="1" applyFill="1" applyBorder="1" applyAlignment="1" applyProtection="1">
      <alignment horizontal="center"/>
      <protection hidden="1"/>
    </xf>
    <xf numFmtId="0" fontId="20" fillId="2" borderId="0" xfId="0" applyFont="1" applyFill="1" applyAlignment="1" applyProtection="1">
      <alignment horizontal="center" vertical="center" wrapText="1"/>
      <protection hidden="1"/>
    </xf>
    <xf numFmtId="0" fontId="20" fillId="2" borderId="0" xfId="0" applyFont="1" applyFill="1" applyAlignment="1" applyProtection="1">
      <alignment horizontal="center" vertical="center"/>
      <protection hidden="1"/>
    </xf>
    <xf numFmtId="0" fontId="20" fillId="7" borderId="0" xfId="0" applyFont="1" applyFill="1" applyAlignment="1" applyProtection="1">
      <alignment horizontal="center" vertical="center" wrapText="1"/>
      <protection hidden="1"/>
    </xf>
    <xf numFmtId="0" fontId="20" fillId="7" borderId="0" xfId="0" applyFont="1" applyFill="1" applyAlignment="1" applyProtection="1">
      <alignment horizontal="center" vertical="center"/>
      <protection hidden="1"/>
    </xf>
    <xf numFmtId="0" fontId="20" fillId="4" borderId="0" xfId="0" applyFont="1" applyFill="1" applyAlignment="1" applyProtection="1">
      <alignment horizontal="center" vertical="center" wrapText="1"/>
      <protection hidden="1"/>
    </xf>
    <xf numFmtId="0" fontId="20" fillId="4"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20" fillId="0" borderId="90" xfId="0" applyFont="1" applyBorder="1" applyAlignment="1" applyProtection="1">
      <alignment horizontal="center" wrapText="1"/>
      <protection hidden="1"/>
    </xf>
    <xf numFmtId="0" fontId="30" fillId="5" borderId="0" xfId="0" applyFont="1" applyFill="1" applyAlignment="1" applyProtection="1">
      <alignment horizontal="left" vertical="top" wrapText="1"/>
      <protection locked="0"/>
    </xf>
    <xf numFmtId="192" fontId="42" fillId="0" borderId="0" xfId="0" applyNumberFormat="1" applyFont="1" applyAlignment="1" applyProtection="1">
      <alignment horizontal="left" vertical="center"/>
      <protection hidden="1"/>
    </xf>
    <xf numFmtId="0" fontId="20" fillId="0" borderId="95" xfId="0" applyFont="1" applyBorder="1" applyAlignment="1" applyProtection="1">
      <alignment horizontal="center" vertical="center" wrapText="1"/>
      <protection hidden="1"/>
    </xf>
    <xf numFmtId="167" fontId="20" fillId="0" borderId="46" xfId="0" applyNumberFormat="1" applyFont="1" applyBorder="1" applyAlignment="1" applyProtection="1">
      <alignment horizontal="center" vertical="center"/>
      <protection hidden="1"/>
    </xf>
    <xf numFmtId="167" fontId="20" fillId="0" borderId="95" xfId="0" applyNumberFormat="1" applyFont="1" applyBorder="1" applyAlignment="1" applyProtection="1">
      <alignment horizontal="center" vertical="center"/>
      <protection hidden="1"/>
    </xf>
    <xf numFmtId="167" fontId="20" fillId="0" borderId="96" xfId="0" applyNumberFormat="1" applyFont="1" applyBorder="1" applyAlignment="1" applyProtection="1">
      <alignment horizontal="center" vertical="center"/>
      <protection hidden="1"/>
    </xf>
    <xf numFmtId="167" fontId="20" fillId="0" borderId="97" xfId="0" applyNumberFormat="1" applyFont="1" applyBorder="1" applyAlignment="1" applyProtection="1">
      <alignment horizontal="center" vertical="center"/>
      <protection hidden="1"/>
    </xf>
    <xf numFmtId="0" fontId="20" fillId="0" borderId="45" xfId="0" applyFont="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0" fillId="0" borderId="86" xfId="0" applyFont="1" applyBorder="1" applyAlignment="1" applyProtection="1" quotePrefix="1">
      <alignment horizontal="center" vertical="center" wrapText="1"/>
      <protection hidden="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94" xfId="0" applyBorder="1" applyAlignment="1">
      <alignment horizontal="center" vertical="center" wrapText="1"/>
    </xf>
    <xf numFmtId="0" fontId="0" fillId="0" borderId="91" xfId="0" applyFont="1" applyBorder="1" applyAlignment="1" applyProtection="1">
      <alignment horizontal="left"/>
      <protection hidden="1"/>
    </xf>
    <xf numFmtId="0" fontId="0" fillId="0" borderId="42" xfId="0" applyFont="1" applyBorder="1" applyAlignment="1" applyProtection="1">
      <alignment horizontal="left"/>
      <protection hidden="1"/>
    </xf>
    <xf numFmtId="0" fontId="0" fillId="0" borderId="92" xfId="0" applyFont="1" applyBorder="1" applyAlignment="1" applyProtection="1">
      <alignment horizontal="left"/>
      <protection hidden="1"/>
    </xf>
    <xf numFmtId="0" fontId="0" fillId="0" borderId="44" xfId="0" applyFont="1" applyBorder="1" applyAlignment="1" applyProtection="1">
      <alignment horizontal="left"/>
      <protection hidden="1"/>
    </xf>
    <xf numFmtId="0" fontId="25" fillId="2" borderId="39" xfId="0" applyFont="1" applyFill="1" applyBorder="1" applyAlignment="1" applyProtection="1">
      <alignment horizontal="center" vertical="center"/>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100" xfId="0" applyBorder="1" applyAlignment="1" applyProtection="1" quotePrefix="1">
      <alignment horizontal="center" vertical="center" wrapText="1"/>
      <protection hidden="1"/>
    </xf>
    <xf numFmtId="0" fontId="0" fillId="0" borderId="101" xfId="0" applyBorder="1" applyAlignment="1" applyProtection="1" quotePrefix="1">
      <alignment horizontal="center" vertical="center" wrapText="1"/>
      <protection hidden="1"/>
    </xf>
    <xf numFmtId="0" fontId="25" fillId="0" borderId="53" xfId="0" applyFont="1" applyBorder="1" applyAlignment="1" applyProtection="1">
      <alignment horizontal="center" vertical="center"/>
      <protection hidden="1"/>
    </xf>
    <xf numFmtId="173" fontId="7" fillId="8" borderId="42" xfId="0" applyNumberFormat="1" applyFont="1" applyFill="1" applyBorder="1" applyAlignment="1" applyProtection="1">
      <alignment horizontal="center" vertical="center"/>
      <protection hidden="1"/>
    </xf>
    <xf numFmtId="173" fontId="7" fillId="8" borderId="43" xfId="0" applyNumberFormat="1" applyFont="1" applyFill="1" applyBorder="1" applyAlignment="1" applyProtection="1">
      <alignment horizontal="center" vertical="center"/>
      <protection hidden="1"/>
    </xf>
    <xf numFmtId="0" fontId="0" fillId="0" borderId="102" xfId="0" applyFont="1" applyFill="1" applyBorder="1" applyAlignment="1" applyProtection="1">
      <alignment horizontal="center" vertical="center"/>
      <protection hidden="1"/>
    </xf>
    <xf numFmtId="174" fontId="10" fillId="5" borderId="42" xfId="0" applyNumberFormat="1" applyFont="1" applyFill="1" applyBorder="1" applyAlignment="1" applyProtection="1">
      <alignment horizontal="center" vertical="center"/>
      <protection locked="0"/>
    </xf>
    <xf numFmtId="174" fontId="10" fillId="5" borderId="43" xfId="0" applyNumberFormat="1"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hidden="1"/>
    </xf>
    <xf numFmtId="0" fontId="0" fillId="4" borderId="21" xfId="0" applyFont="1" applyFill="1" applyBorder="1" applyAlignment="1" applyProtection="1">
      <alignment horizontal="center" vertical="center"/>
      <protection hidden="1"/>
    </xf>
    <xf numFmtId="0" fontId="10" fillId="5" borderId="102" xfId="0" applyNumberFormat="1" applyFont="1" applyFill="1" applyBorder="1" applyAlignment="1" applyProtection="1">
      <alignment horizontal="center" vertical="center"/>
      <protection locked="0"/>
    </xf>
    <xf numFmtId="0" fontId="10" fillId="5" borderId="3"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center" vertical="center"/>
      <protection hidden="1"/>
    </xf>
    <xf numFmtId="0" fontId="0" fillId="0" borderId="104" xfId="0" applyFont="1" applyBorder="1" applyAlignment="1" applyProtection="1" quotePrefix="1">
      <alignment horizontal="center" vertical="center"/>
      <protection hidden="1"/>
    </xf>
    <xf numFmtId="0" fontId="0" fillId="0" borderId="19" xfId="0" applyFont="1" applyBorder="1" applyAlignment="1" applyProtection="1" quotePrefix="1">
      <alignment horizontal="center" vertical="center"/>
      <protection hidden="1"/>
    </xf>
    <xf numFmtId="0" fontId="0" fillId="0" borderId="25" xfId="0" applyFont="1" applyFill="1" applyBorder="1" applyAlignment="1" applyProtection="1">
      <alignment horizontal="left" vertical="center"/>
      <protection hidden="1"/>
    </xf>
    <xf numFmtId="0" fontId="0" fillId="0" borderId="104" xfId="0" applyFont="1" applyFill="1" applyBorder="1" applyAlignment="1" applyProtection="1">
      <alignment horizontal="left" vertical="center"/>
      <protection hidden="1"/>
    </xf>
    <xf numFmtId="0" fontId="0" fillId="0" borderId="3" xfId="0" applyFont="1" applyFill="1" applyBorder="1" applyAlignment="1" applyProtection="1">
      <alignment horizontal="center" vertical="center"/>
      <protection hidden="1"/>
    </xf>
    <xf numFmtId="0" fontId="0" fillId="0" borderId="104"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7" fillId="2" borderId="0" xfId="0" applyFont="1" applyFill="1" applyAlignment="1" applyProtection="1" quotePrefix="1">
      <alignment horizontal="left" vertical="center"/>
      <protection hidden="1"/>
    </xf>
    <xf numFmtId="182" fontId="10" fillId="5" borderId="102" xfId="0" applyNumberFormat="1" applyFont="1" applyFill="1" applyBorder="1" applyAlignment="1" applyProtection="1">
      <alignment horizontal="center" vertical="center"/>
      <protection locked="0"/>
    </xf>
    <xf numFmtId="0" fontId="13" fillId="2" borderId="39" xfId="0" applyFont="1" applyFill="1" applyBorder="1" applyAlignment="1" applyProtection="1">
      <alignment horizontal="center" vertical="center"/>
      <protection hidden="1"/>
    </xf>
    <xf numFmtId="0" fontId="7" fillId="8" borderId="34" xfId="0" applyNumberFormat="1" applyFont="1" applyFill="1" applyBorder="1" applyAlignment="1" applyProtection="1">
      <alignment horizontal="left" vertical="center"/>
      <protection hidden="1"/>
    </xf>
    <xf numFmtId="0" fontId="7" fillId="8" borderId="102" xfId="0" applyNumberFormat="1" applyFont="1" applyFill="1" applyBorder="1" applyAlignment="1" applyProtection="1">
      <alignment horizontal="left" vertical="center"/>
      <protection hidden="1"/>
    </xf>
    <xf numFmtId="0" fontId="0" fillId="4" borderId="0" xfId="0" applyFont="1" applyFill="1" applyAlignment="1" applyProtection="1">
      <alignment horizontal="left" vertical="center" wrapText="1"/>
      <protection hidden="1"/>
    </xf>
    <xf numFmtId="0" fontId="7" fillId="2" borderId="46" xfId="0" applyFont="1" applyFill="1" applyBorder="1" applyAlignment="1" applyProtection="1">
      <alignment horizontal="center" vertical="center"/>
      <protection hidden="1"/>
    </xf>
    <xf numFmtId="0" fontId="7" fillId="2" borderId="70" xfId="0" applyFont="1" applyFill="1" applyBorder="1" applyAlignment="1" applyProtection="1">
      <alignment horizontal="center" vertical="center"/>
      <protection hidden="1"/>
    </xf>
    <xf numFmtId="0" fontId="0" fillId="5" borderId="0" xfId="0" applyFont="1" applyFill="1" applyAlignment="1" applyProtection="1">
      <alignment horizontal="left" vertical="center" wrapText="1"/>
      <protection hidden="1"/>
    </xf>
    <xf numFmtId="0" fontId="0" fillId="2" borderId="0" xfId="0" applyFont="1" applyFill="1" applyAlignment="1" applyProtection="1">
      <alignment horizontal="left" vertical="center" wrapText="1"/>
      <protection hidden="1"/>
    </xf>
    <xf numFmtId="0" fontId="0" fillId="7" borderId="0" xfId="0" applyFont="1" applyFill="1" applyAlignment="1" applyProtection="1">
      <alignment horizontal="left" vertical="center" wrapText="1"/>
      <protection hidden="1"/>
    </xf>
    <xf numFmtId="0" fontId="0" fillId="2" borderId="0" xfId="0" applyFont="1" applyFill="1" applyAlignment="1" applyProtection="1">
      <alignment vertical="center" wrapText="1"/>
      <protection hidden="1"/>
    </xf>
    <xf numFmtId="0" fontId="8" fillId="0" borderId="0" xfId="0" applyFont="1" applyFill="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0" fontId="0" fillId="0" borderId="94" xfId="0" applyFont="1" applyBorder="1" applyAlignment="1" applyProtection="1">
      <alignment horizontal="left" vertical="center" wrapText="1"/>
      <protection hidden="1"/>
    </xf>
    <xf numFmtId="0" fontId="0"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0" fontId="10" fillId="0" borderId="0" xfId="0" applyFont="1" applyAlignment="1" applyProtection="1" quotePrefix="1">
      <alignment horizontal="left" vertical="center" wrapText="1"/>
      <protection hidden="1"/>
    </xf>
    <xf numFmtId="0" fontId="0" fillId="0" borderId="0" xfId="0" applyFont="1" applyAlignment="1" applyProtection="1">
      <alignment horizontal="left" vertical="center" wrapText="1"/>
      <protection hidden="1"/>
    </xf>
    <xf numFmtId="0" fontId="7" fillId="2" borderId="46" xfId="0" applyFont="1" applyFill="1" applyBorder="1" applyAlignment="1" applyProtection="1">
      <alignment horizontal="center" vertical="center"/>
      <protection hidden="1"/>
    </xf>
    <xf numFmtId="0" fontId="7" fillId="2" borderId="70" xfId="0" applyFont="1" applyFill="1" applyBorder="1" applyAlignment="1" applyProtection="1">
      <alignment horizontal="center" vertical="center"/>
      <protection hidden="1"/>
    </xf>
    <xf numFmtId="0" fontId="7" fillId="0" borderId="38" xfId="0" applyFont="1" applyBorder="1" applyAlignment="1" applyProtection="1">
      <alignment horizontal="left" vertical="center"/>
      <protection hidden="1"/>
    </xf>
    <xf numFmtId="0" fontId="7" fillId="0" borderId="105" xfId="0" applyFont="1" applyBorder="1" applyAlignment="1" applyProtection="1">
      <alignment horizontal="left" vertical="center"/>
      <protection hidden="1"/>
    </xf>
    <xf numFmtId="0" fontId="0" fillId="0" borderId="49" xfId="0" applyFont="1" applyBorder="1" applyAlignment="1" applyProtection="1" quotePrefix="1">
      <alignment horizontal="left" vertical="center" wrapText="1"/>
      <protection hidden="1"/>
    </xf>
    <xf numFmtId="0" fontId="0" fillId="0" borderId="53" xfId="0" applyFont="1" applyBorder="1" applyAlignment="1" applyProtection="1" quotePrefix="1">
      <alignment horizontal="left" vertical="center" wrapText="1"/>
      <protection hidden="1"/>
    </xf>
    <xf numFmtId="0" fontId="7" fillId="0" borderId="0" xfId="0" applyFont="1" applyAlignment="1" applyProtection="1">
      <alignment horizontal="left" vertical="center" wrapText="1"/>
      <protection hidden="1"/>
    </xf>
    <xf numFmtId="0" fontId="0" fillId="0" borderId="50" xfId="0" applyFont="1" applyBorder="1" applyAlignment="1" applyProtection="1" quotePrefix="1">
      <alignment horizontal="left" vertical="center"/>
      <protection hidden="1"/>
    </xf>
    <xf numFmtId="0" fontId="0" fillId="0" borderId="51" xfId="0" applyFont="1" applyBorder="1" applyAlignment="1" applyProtection="1" quotePrefix="1">
      <alignment horizontal="left" vertical="center"/>
      <protection hidden="1"/>
    </xf>
    <xf numFmtId="0" fontId="7" fillId="0" borderId="13" xfId="0" applyFont="1" applyBorder="1" applyAlignment="1" applyProtection="1">
      <alignment horizontal="left" vertical="center"/>
      <protection hidden="1"/>
    </xf>
    <xf numFmtId="0" fontId="7" fillId="0" borderId="52" xfId="0" applyFont="1" applyBorder="1" applyAlignment="1" applyProtection="1">
      <alignment horizontal="left" vertical="center"/>
      <protection hidden="1"/>
    </xf>
    <xf numFmtId="0" fontId="0" fillId="0" borderId="49" xfId="0" applyFont="1" applyBorder="1" applyAlignment="1" applyProtection="1">
      <alignment horizontal="left" vertical="center"/>
      <protection hidden="1"/>
    </xf>
    <xf numFmtId="0" fontId="0" fillId="0" borderId="53" xfId="0" applyFont="1" applyBorder="1" applyAlignment="1" applyProtection="1">
      <alignment horizontal="left" vertical="center"/>
      <protection hidden="1"/>
    </xf>
    <xf numFmtId="0" fontId="0" fillId="0" borderId="50" xfId="0" applyFont="1" applyBorder="1" applyAlignment="1" applyProtection="1">
      <alignment horizontal="left" vertical="center"/>
      <protection hidden="1"/>
    </xf>
    <xf numFmtId="0" fontId="0" fillId="0" borderId="51" xfId="0" applyFont="1" applyBorder="1" applyAlignment="1" applyProtection="1">
      <alignment horizontal="left" vertical="center"/>
      <protection hidden="1"/>
    </xf>
    <xf numFmtId="0" fontId="0" fillId="0" borderId="5" xfId="0" applyFont="1" applyBorder="1" applyAlignment="1" applyProtection="1">
      <alignment horizontal="left" vertical="center" wrapText="1"/>
      <protection hidden="1"/>
    </xf>
    <xf numFmtId="0" fontId="0" fillId="0" borderId="53" xfId="0" applyFont="1" applyBorder="1" applyAlignment="1" applyProtection="1">
      <alignment horizontal="left" vertical="center" wrapText="1"/>
      <protection hidden="1"/>
    </xf>
    <xf numFmtId="0" fontId="0" fillId="0" borderId="5" xfId="0" applyFont="1" applyBorder="1" applyAlignment="1" applyProtection="1" quotePrefix="1">
      <alignment horizontal="left" vertical="center" wrapText="1"/>
      <protection hidden="1"/>
    </xf>
    <xf numFmtId="0" fontId="0" fillId="0" borderId="5" xfId="0" applyFont="1" applyBorder="1" applyAlignment="1" applyProtection="1">
      <alignment horizontal="left" vertical="top" wrapText="1"/>
      <protection hidden="1"/>
    </xf>
    <xf numFmtId="0" fontId="0" fillId="0" borderId="53" xfId="0" applyFont="1" applyBorder="1" applyAlignment="1" applyProtection="1">
      <alignment horizontal="left" vertical="top" wrapText="1"/>
      <protection hidden="1"/>
    </xf>
    <xf numFmtId="0" fontId="0" fillId="0" borderId="49" xfId="0" applyFont="1" applyBorder="1" applyAlignment="1" applyProtection="1" quotePrefix="1">
      <alignment horizontal="left" vertical="center"/>
      <protection hidden="1"/>
    </xf>
    <xf numFmtId="0" fontId="0" fillId="0" borderId="53" xfId="0" applyFont="1" applyBorder="1" applyAlignment="1" applyProtection="1" quotePrefix="1">
      <alignment horizontal="left" vertical="center"/>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7.wmf" /><Relationship Id="rId2" Type="http://schemas.openxmlformats.org/officeDocument/2006/relationships/image" Target="../media/image2.wmf" /><Relationship Id="rId3" Type="http://schemas.openxmlformats.org/officeDocument/2006/relationships/image" Target="../media/image5.wmf" /><Relationship Id="rId4" Type="http://schemas.openxmlformats.org/officeDocument/2006/relationships/image" Target="../media/image7.wmf" /><Relationship Id="rId5" Type="http://schemas.openxmlformats.org/officeDocument/2006/relationships/image" Target="../media/image8.wmf" /><Relationship Id="rId6" Type="http://schemas.openxmlformats.org/officeDocument/2006/relationships/image" Target="../media/image58.emf" /><Relationship Id="rId7" Type="http://schemas.openxmlformats.org/officeDocument/2006/relationships/image" Target="../media/image6.wmf" /><Relationship Id="rId8" Type="http://schemas.openxmlformats.org/officeDocument/2006/relationships/image" Target="../media/image9.wmf" /><Relationship Id="rId9" Type="http://schemas.openxmlformats.org/officeDocument/2006/relationships/image" Target="../media/image10.wmf" /><Relationship Id="rId10" Type="http://schemas.openxmlformats.org/officeDocument/2006/relationships/image" Target="../media/image11.wmf" /><Relationship Id="rId11" Type="http://schemas.openxmlformats.org/officeDocument/2006/relationships/image" Target="../media/image12.wmf" /><Relationship Id="rId12" Type="http://schemas.openxmlformats.org/officeDocument/2006/relationships/image" Target="../media/image19.wmf" /><Relationship Id="rId13" Type="http://schemas.openxmlformats.org/officeDocument/2006/relationships/image" Target="../media/image20.wmf" /><Relationship Id="rId14" Type="http://schemas.openxmlformats.org/officeDocument/2006/relationships/image" Target="../media/image13.wmf" /><Relationship Id="rId15" Type="http://schemas.openxmlformats.org/officeDocument/2006/relationships/image" Target="../media/image15.wmf" /><Relationship Id="rId16" Type="http://schemas.openxmlformats.org/officeDocument/2006/relationships/image" Target="../media/image14.wmf" /><Relationship Id="rId17" Type="http://schemas.openxmlformats.org/officeDocument/2006/relationships/image" Target="../media/image16.wmf" /><Relationship Id="rId18" Type="http://schemas.openxmlformats.org/officeDocument/2006/relationships/image" Target="../media/image17.wmf" /><Relationship Id="rId19" Type="http://schemas.openxmlformats.org/officeDocument/2006/relationships/image" Target="../media/image18.wmf" /><Relationship Id="rId20" Type="http://schemas.openxmlformats.org/officeDocument/2006/relationships/image" Target="../media/image21.wmf" /><Relationship Id="rId21" Type="http://schemas.openxmlformats.org/officeDocument/2006/relationships/image" Target="../media/image22.wmf" /><Relationship Id="rId22" Type="http://schemas.openxmlformats.org/officeDocument/2006/relationships/image" Target="../media/image23.wmf" /><Relationship Id="rId23" Type="http://schemas.openxmlformats.org/officeDocument/2006/relationships/image" Target="../media/image32.wmf" /><Relationship Id="rId24" Type="http://schemas.openxmlformats.org/officeDocument/2006/relationships/image" Target="../media/image33.wmf" /><Relationship Id="rId25" Type="http://schemas.openxmlformats.org/officeDocument/2006/relationships/image" Target="../media/image34.wmf" /><Relationship Id="rId26" Type="http://schemas.openxmlformats.org/officeDocument/2006/relationships/image" Target="../media/image35.wmf" /><Relationship Id="rId27" Type="http://schemas.openxmlformats.org/officeDocument/2006/relationships/image" Target="../media/image54.wmf" /><Relationship Id="rId28" Type="http://schemas.openxmlformats.org/officeDocument/2006/relationships/image" Target="../media/image55.wmf" /><Relationship Id="rId29" Type="http://schemas.openxmlformats.org/officeDocument/2006/relationships/image" Target="../media/image56.wmf" /><Relationship Id="rId30" Type="http://schemas.openxmlformats.org/officeDocument/2006/relationships/image" Target="../media/image57.wmf" /><Relationship Id="rId31" Type="http://schemas.openxmlformats.org/officeDocument/2006/relationships/image" Target="../media/image24.wmf" /><Relationship Id="rId32" Type="http://schemas.openxmlformats.org/officeDocument/2006/relationships/image" Target="../media/image25.wmf" /><Relationship Id="rId33" Type="http://schemas.openxmlformats.org/officeDocument/2006/relationships/image" Target="../media/image26.wmf" /><Relationship Id="rId34" Type="http://schemas.openxmlformats.org/officeDocument/2006/relationships/image" Target="../media/image27.wmf" /><Relationship Id="rId35" Type="http://schemas.openxmlformats.org/officeDocument/2006/relationships/image" Target="../media/image28.wmf" /><Relationship Id="rId36" Type="http://schemas.openxmlformats.org/officeDocument/2006/relationships/image" Target="../media/image29.wmf" /><Relationship Id="rId37" Type="http://schemas.openxmlformats.org/officeDocument/2006/relationships/image" Target="../media/image30.wmf" /><Relationship Id="rId38" Type="http://schemas.openxmlformats.org/officeDocument/2006/relationships/image" Target="../media/image31.wmf" /><Relationship Id="rId39" Type="http://schemas.openxmlformats.org/officeDocument/2006/relationships/image" Target="../media/image36.wmf" /><Relationship Id="rId40" Type="http://schemas.openxmlformats.org/officeDocument/2006/relationships/image" Target="../media/image37.wmf" /><Relationship Id="rId41" Type="http://schemas.openxmlformats.org/officeDocument/2006/relationships/image" Target="../media/image38.wmf" /><Relationship Id="rId42" Type="http://schemas.openxmlformats.org/officeDocument/2006/relationships/image" Target="../media/image39.wmf" /><Relationship Id="rId43" Type="http://schemas.openxmlformats.org/officeDocument/2006/relationships/image" Target="../media/image40.wmf" /><Relationship Id="rId44" Type="http://schemas.openxmlformats.org/officeDocument/2006/relationships/image" Target="../media/image41.wmf" /><Relationship Id="rId45" Type="http://schemas.openxmlformats.org/officeDocument/2006/relationships/image" Target="../media/image42.wmf" /><Relationship Id="rId46" Type="http://schemas.openxmlformats.org/officeDocument/2006/relationships/image" Target="../media/image43.wmf" /><Relationship Id="rId47" Type="http://schemas.openxmlformats.org/officeDocument/2006/relationships/image" Target="../media/image44.wmf" /><Relationship Id="rId48" Type="http://schemas.openxmlformats.org/officeDocument/2006/relationships/image" Target="../media/image45.wmf" /><Relationship Id="rId49" Type="http://schemas.openxmlformats.org/officeDocument/2006/relationships/image" Target="../media/image46.wmf" /><Relationship Id="rId50" Type="http://schemas.openxmlformats.org/officeDocument/2006/relationships/image" Target="../media/image47.wmf" /><Relationship Id="rId51" Type="http://schemas.openxmlformats.org/officeDocument/2006/relationships/image" Target="../media/image48.wmf" /><Relationship Id="rId52" Type="http://schemas.openxmlformats.org/officeDocument/2006/relationships/image" Target="../media/image49.wmf" /><Relationship Id="rId53" Type="http://schemas.openxmlformats.org/officeDocument/2006/relationships/image" Target="../media/image50.wmf" /><Relationship Id="rId54" Type="http://schemas.openxmlformats.org/officeDocument/2006/relationships/image" Target="../media/image51.wmf" /><Relationship Id="rId55" Type="http://schemas.openxmlformats.org/officeDocument/2006/relationships/image" Target="../media/image52.wmf" /><Relationship Id="rId56" Type="http://schemas.openxmlformats.org/officeDocument/2006/relationships/image" Target="../media/image5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oleObject" Target="../embeddings/oleObject_4_13.bin" /><Relationship Id="rId15" Type="http://schemas.openxmlformats.org/officeDocument/2006/relationships/oleObject" Target="../embeddings/oleObject_4_14.bin" /><Relationship Id="rId16" Type="http://schemas.openxmlformats.org/officeDocument/2006/relationships/oleObject" Target="../embeddings/oleObject_4_15.bin" /><Relationship Id="rId17" Type="http://schemas.openxmlformats.org/officeDocument/2006/relationships/oleObject" Target="../embeddings/oleObject_4_16.bin" /><Relationship Id="rId18" Type="http://schemas.openxmlformats.org/officeDocument/2006/relationships/oleObject" Target="../embeddings/oleObject_4_17.bin" /><Relationship Id="rId19" Type="http://schemas.openxmlformats.org/officeDocument/2006/relationships/oleObject" Target="../embeddings/oleObject_4_18.bin" /><Relationship Id="rId20" Type="http://schemas.openxmlformats.org/officeDocument/2006/relationships/oleObject" Target="../embeddings/oleObject_4_19.bin" /><Relationship Id="rId21" Type="http://schemas.openxmlformats.org/officeDocument/2006/relationships/oleObject" Target="../embeddings/oleObject_4_20.bin" /><Relationship Id="rId22" Type="http://schemas.openxmlformats.org/officeDocument/2006/relationships/oleObject" Target="../embeddings/oleObject_4_21.bin" /><Relationship Id="rId23" Type="http://schemas.openxmlformats.org/officeDocument/2006/relationships/oleObject" Target="../embeddings/oleObject_4_22.bin" /><Relationship Id="rId24" Type="http://schemas.openxmlformats.org/officeDocument/2006/relationships/oleObject" Target="../embeddings/oleObject_4_23.bin" /><Relationship Id="rId25" Type="http://schemas.openxmlformats.org/officeDocument/2006/relationships/oleObject" Target="../embeddings/oleObject_4_24.bin" /><Relationship Id="rId26" Type="http://schemas.openxmlformats.org/officeDocument/2006/relationships/oleObject" Target="../embeddings/oleObject_4_25.bin" /><Relationship Id="rId27" Type="http://schemas.openxmlformats.org/officeDocument/2006/relationships/oleObject" Target="../embeddings/oleObject_4_26.bin" /><Relationship Id="rId28" Type="http://schemas.openxmlformats.org/officeDocument/2006/relationships/oleObject" Target="../embeddings/oleObject_4_27.bin" /><Relationship Id="rId29" Type="http://schemas.openxmlformats.org/officeDocument/2006/relationships/oleObject" Target="../embeddings/oleObject_4_28.bin" /><Relationship Id="rId30" Type="http://schemas.openxmlformats.org/officeDocument/2006/relationships/oleObject" Target="../embeddings/oleObject_4_29.bin" /><Relationship Id="rId31" Type="http://schemas.openxmlformats.org/officeDocument/2006/relationships/oleObject" Target="../embeddings/oleObject_4_30.bin" /><Relationship Id="rId32" Type="http://schemas.openxmlformats.org/officeDocument/2006/relationships/oleObject" Target="../embeddings/oleObject_4_31.bin" /><Relationship Id="rId33" Type="http://schemas.openxmlformats.org/officeDocument/2006/relationships/oleObject" Target="../embeddings/oleObject_4_32.bin" /><Relationship Id="rId34" Type="http://schemas.openxmlformats.org/officeDocument/2006/relationships/oleObject" Target="../embeddings/oleObject_4_33.bin" /><Relationship Id="rId35" Type="http://schemas.openxmlformats.org/officeDocument/2006/relationships/oleObject" Target="../embeddings/oleObject_4_34.bin" /><Relationship Id="rId36" Type="http://schemas.openxmlformats.org/officeDocument/2006/relationships/oleObject" Target="../embeddings/oleObject_4_35.bin" /><Relationship Id="rId37" Type="http://schemas.openxmlformats.org/officeDocument/2006/relationships/oleObject" Target="../embeddings/oleObject_4_36.bin" /><Relationship Id="rId38" Type="http://schemas.openxmlformats.org/officeDocument/2006/relationships/oleObject" Target="../embeddings/oleObject_4_37.bin" /><Relationship Id="rId39" Type="http://schemas.openxmlformats.org/officeDocument/2006/relationships/oleObject" Target="../embeddings/oleObject_4_38.bin" /><Relationship Id="rId40" Type="http://schemas.openxmlformats.org/officeDocument/2006/relationships/oleObject" Target="../embeddings/oleObject_4_39.bin" /><Relationship Id="rId41" Type="http://schemas.openxmlformats.org/officeDocument/2006/relationships/oleObject" Target="../embeddings/oleObject_4_40.bin" /><Relationship Id="rId42" Type="http://schemas.openxmlformats.org/officeDocument/2006/relationships/oleObject" Target="../embeddings/oleObject_4_41.bin" /><Relationship Id="rId43" Type="http://schemas.openxmlformats.org/officeDocument/2006/relationships/oleObject" Target="../embeddings/oleObject_4_42.bin" /><Relationship Id="rId44" Type="http://schemas.openxmlformats.org/officeDocument/2006/relationships/oleObject" Target="../embeddings/oleObject_4_43.bin" /><Relationship Id="rId45" Type="http://schemas.openxmlformats.org/officeDocument/2006/relationships/oleObject" Target="../embeddings/oleObject_4_44.bin" /><Relationship Id="rId46" Type="http://schemas.openxmlformats.org/officeDocument/2006/relationships/oleObject" Target="../embeddings/oleObject_4_45.bin" /><Relationship Id="rId47" Type="http://schemas.openxmlformats.org/officeDocument/2006/relationships/oleObject" Target="../embeddings/oleObject_4_46.bin" /><Relationship Id="rId48" Type="http://schemas.openxmlformats.org/officeDocument/2006/relationships/oleObject" Target="../embeddings/oleObject_4_47.bin" /><Relationship Id="rId49" Type="http://schemas.openxmlformats.org/officeDocument/2006/relationships/oleObject" Target="../embeddings/oleObject_4_48.bin" /><Relationship Id="rId50" Type="http://schemas.openxmlformats.org/officeDocument/2006/relationships/oleObject" Target="../embeddings/oleObject_4_49.bin" /><Relationship Id="rId51" Type="http://schemas.openxmlformats.org/officeDocument/2006/relationships/oleObject" Target="../embeddings/oleObject_4_50.bin" /><Relationship Id="rId52" Type="http://schemas.openxmlformats.org/officeDocument/2006/relationships/oleObject" Target="../embeddings/oleObject_4_51.bin" /><Relationship Id="rId53" Type="http://schemas.openxmlformats.org/officeDocument/2006/relationships/oleObject" Target="../embeddings/oleObject_4_52.bin" /><Relationship Id="rId54" Type="http://schemas.openxmlformats.org/officeDocument/2006/relationships/oleObject" Target="../embeddings/oleObject_4_53.bin" /><Relationship Id="rId55" Type="http://schemas.openxmlformats.org/officeDocument/2006/relationships/oleObject" Target="../embeddings/oleObject_4_54.bin" /><Relationship Id="rId56" Type="http://schemas.openxmlformats.org/officeDocument/2006/relationships/oleObject" Target="../embeddings/oleObject_4_55.bin" /><Relationship Id="rId57" Type="http://schemas.openxmlformats.org/officeDocument/2006/relationships/vmlDrawing" Target="../drawings/vmlDrawing3.vml" /><Relationship Id="rId5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Z45"/>
  <sheetViews>
    <sheetView showGridLines="0" showRowColHeaders="0" tabSelected="1" workbookViewId="0" topLeftCell="A1">
      <selection activeCell="F53" sqref="F53"/>
    </sheetView>
  </sheetViews>
  <sheetFormatPr defaultColWidth="11.421875" defaultRowHeight="15" customHeight="1"/>
  <cols>
    <col min="1" max="1" width="3.7109375" style="1" customWidth="1"/>
    <col min="2" max="16" width="10.7109375" style="1" customWidth="1"/>
    <col min="17" max="17" width="3.7109375" style="1" customWidth="1"/>
    <col min="18" max="18" width="10.7109375" style="1" customWidth="1"/>
    <col min="19" max="20" width="10.7109375" style="15" customWidth="1"/>
    <col min="21" max="16384" width="11.421875" style="15" customWidth="1"/>
  </cols>
  <sheetData>
    <row r="1" spans="1:20" s="4" customFormat="1" ht="18" customHeight="1">
      <c r="A1" s="243"/>
      <c r="B1" s="425"/>
      <c r="C1" s="245"/>
      <c r="D1" s="245"/>
      <c r="E1" s="245"/>
      <c r="F1" s="245"/>
      <c r="G1" s="245"/>
      <c r="H1" s="245"/>
      <c r="I1" s="245"/>
      <c r="J1" s="245"/>
      <c r="K1" s="245"/>
      <c r="L1" s="245"/>
      <c r="M1" s="245"/>
      <c r="N1" s="425"/>
      <c r="O1" s="425"/>
      <c r="P1" s="425"/>
      <c r="Q1" s="243"/>
      <c r="R1" s="243"/>
      <c r="S1" s="243"/>
      <c r="T1" s="243"/>
    </row>
    <row r="2" spans="1:20" ht="18" customHeight="1">
      <c r="A2" s="243"/>
      <c r="B2" s="152" t="str">
        <f>IF(H8&gt;2.5," A T T E N T I O N :",IF(H8&gt;1.5,"A C H T U N G :","D İ K K A T :"))</f>
        <v>D İ K K A T :</v>
      </c>
      <c r="C2" s="245"/>
      <c r="D2" s="245"/>
      <c r="E2" s="245"/>
      <c r="F2" s="245"/>
      <c r="G2" s="245"/>
      <c r="H2" s="245"/>
      <c r="I2" s="245"/>
      <c r="J2" s="245"/>
      <c r="K2" s="245"/>
      <c r="L2" s="245"/>
      <c r="M2" s="425"/>
      <c r="N2" s="425"/>
      <c r="O2" s="425"/>
      <c r="P2" s="245"/>
      <c r="Q2" s="243"/>
      <c r="R2" s="243"/>
      <c r="S2" s="243"/>
      <c r="T2" s="243"/>
    </row>
    <row r="3" spans="1:20" ht="68.25" customHeight="1">
      <c r="A3" s="243"/>
      <c r="B3" s="672" t="str">
        <f>IF(H8&gt;2.5,B34,IF(H8&gt;1.5,B32,IF(H8&gt;0.5,B30,"")))</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672"/>
      <c r="D3" s="672"/>
      <c r="E3" s="672"/>
      <c r="F3" s="672"/>
      <c r="G3" s="672"/>
      <c r="H3" s="672"/>
      <c r="I3" s="672"/>
      <c r="J3" s="672"/>
      <c r="K3" s="672"/>
      <c r="L3" s="672"/>
      <c r="M3" s="672"/>
      <c r="N3" s="672"/>
      <c r="O3" s="672"/>
      <c r="P3" s="672"/>
      <c r="S3" s="243"/>
      <c r="T3" s="243"/>
    </row>
    <row r="4" spans="1:20" ht="18" customHeight="1">
      <c r="A4" s="245"/>
      <c r="B4" s="425"/>
      <c r="C4" s="245"/>
      <c r="D4" s="245"/>
      <c r="E4" s="245"/>
      <c r="F4" s="245"/>
      <c r="G4" s="245"/>
      <c r="H4" s="245"/>
      <c r="I4" s="245"/>
      <c r="J4" s="245"/>
      <c r="K4" s="245"/>
      <c r="L4" s="245"/>
      <c r="M4" s="245"/>
      <c r="N4" s="245"/>
      <c r="O4" s="245"/>
      <c r="P4" s="245"/>
      <c r="Q4" s="245"/>
      <c r="R4" s="243"/>
      <c r="S4" s="243"/>
      <c r="T4" s="243"/>
    </row>
    <row r="5" spans="1:20" ht="36" customHeight="1">
      <c r="A5" s="245"/>
      <c r="B5" s="672" t="str">
        <f>IF(H8&gt;2.5,B40,IF(H8&gt;1.5,B38,IF(H8&gt;0.5,B36,"")))</f>
        <v>Bu programdaki her bilgiyi kaynak göstermek şartıyla her yerde kullanabilirsiniz. Bu programa verilecek değerleri (mavi kareler) ya bu sitedeki bilgilerden veya literatürden almalısınız.</v>
      </c>
      <c r="C5" s="672"/>
      <c r="D5" s="672"/>
      <c r="E5" s="672"/>
      <c r="F5" s="672"/>
      <c r="G5" s="672"/>
      <c r="H5" s="672"/>
      <c r="I5" s="672"/>
      <c r="J5" s="672"/>
      <c r="K5" s="672"/>
      <c r="L5" s="672"/>
      <c r="M5" s="672"/>
      <c r="N5" s="672"/>
      <c r="O5" s="672"/>
      <c r="P5" s="672"/>
      <c r="S5" s="243"/>
      <c r="T5" s="243"/>
    </row>
    <row r="6" spans="1:20" ht="18" customHeight="1">
      <c r="A6" s="245"/>
      <c r="B6" s="425"/>
      <c r="C6" s="245"/>
      <c r="D6" s="245"/>
      <c r="E6" s="245"/>
      <c r="F6" s="245"/>
      <c r="G6" s="245"/>
      <c r="H6" s="245"/>
      <c r="I6" s="245"/>
      <c r="J6" s="245"/>
      <c r="K6" s="245"/>
      <c r="L6" s="245"/>
      <c r="M6" s="245"/>
      <c r="N6" s="245"/>
      <c r="O6" s="245"/>
      <c r="P6" s="245"/>
      <c r="Q6" s="245"/>
      <c r="R6" s="243"/>
      <c r="S6" s="243"/>
      <c r="T6" s="243"/>
    </row>
    <row r="7" spans="1:20" s="156" customFormat="1" ht="18" customHeight="1" thickBot="1">
      <c r="A7" s="245"/>
      <c r="B7" s="426" t="s">
        <v>130</v>
      </c>
      <c r="C7" s="245"/>
      <c r="D7" s="245"/>
      <c r="E7" s="245"/>
      <c r="F7" s="245"/>
      <c r="G7" s="677" t="s">
        <v>265</v>
      </c>
      <c r="H7" s="677"/>
      <c r="I7" s="677"/>
      <c r="J7" s="677"/>
      <c r="M7" s="427" t="s">
        <v>551</v>
      </c>
      <c r="O7" s="1"/>
      <c r="P7" s="1"/>
      <c r="Q7" s="1"/>
      <c r="R7" s="1"/>
      <c r="S7" s="243"/>
      <c r="T7" s="243"/>
    </row>
    <row r="8" spans="1:20" ht="19.5" customHeight="1" thickBot="1" thickTop="1">
      <c r="A8" s="245"/>
      <c r="B8" s="428" t="s">
        <v>121</v>
      </c>
      <c r="C8" s="462"/>
      <c r="D8" s="429"/>
      <c r="E8" s="430"/>
      <c r="F8" s="431"/>
      <c r="G8" s="432"/>
      <c r="H8" s="673">
        <v>1</v>
      </c>
      <c r="J8" s="680"/>
      <c r="K8" s="681"/>
      <c r="L8" s="681"/>
      <c r="M8" s="681"/>
      <c r="N8" s="681"/>
      <c r="O8" s="681"/>
      <c r="P8" s="671"/>
      <c r="S8" s="243"/>
      <c r="T8" s="243"/>
    </row>
    <row r="9" spans="1:20" ht="19.5" customHeight="1" thickTop="1">
      <c r="A9" s="245"/>
      <c r="B9" s="433" t="s">
        <v>122</v>
      </c>
      <c r="C9" s="463"/>
      <c r="D9" s="464"/>
      <c r="E9" s="434"/>
      <c r="F9" s="435"/>
      <c r="G9" s="436"/>
      <c r="H9" s="674"/>
      <c r="J9" s="678" t="str">
        <f>IF(H8&gt;2.5,"Input fields (in blue) are not write-protected. ",IF(H8&gt;1.5,"Blaue Felder sind Eingabefelder, welche nicht schreibgeschützt sind. ",IF(H8&gt;0.5,"Mavi olan kareler kilitli olmayan ve yazılabilinen karelerdir","")))</f>
        <v>Mavi olan kareler kilitli olmayan ve yazılabilinen karelerdir</v>
      </c>
      <c r="K9" s="678"/>
      <c r="L9" s="678"/>
      <c r="M9" s="678"/>
      <c r="N9" s="678"/>
      <c r="O9" s="678"/>
      <c r="P9" s="678"/>
      <c r="S9" s="245"/>
      <c r="T9" s="245"/>
    </row>
    <row r="10" spans="1:19" ht="19.5" customHeight="1" thickBot="1">
      <c r="A10" s="245"/>
      <c r="B10" s="437" t="s">
        <v>123</v>
      </c>
      <c r="C10" s="465"/>
      <c r="D10" s="466"/>
      <c r="E10" s="438"/>
      <c r="F10" s="439"/>
      <c r="G10" s="440"/>
      <c r="H10" s="675"/>
      <c r="J10" s="679"/>
      <c r="K10" s="679"/>
      <c r="L10" s="679"/>
      <c r="M10" s="679"/>
      <c r="N10" s="679"/>
      <c r="O10" s="679"/>
      <c r="P10" s="679"/>
      <c r="S10" s="245"/>
    </row>
    <row r="11" spans="1:20" s="241" customFormat="1" ht="19.5" customHeight="1" thickTop="1">
      <c r="A11" s="245"/>
      <c r="I11" s="1"/>
      <c r="J11"/>
      <c r="K11"/>
      <c r="M11" s="156"/>
      <c r="N11" s="156"/>
      <c r="O11" s="1"/>
      <c r="P11" s="1"/>
      <c r="Q11" s="1"/>
      <c r="R11" s="1"/>
      <c r="S11" s="1"/>
      <c r="T11" s="1"/>
    </row>
    <row r="12" spans="1:20" s="156" customFormat="1" ht="18" customHeight="1">
      <c r="A12" s="245"/>
      <c r="C12" s="442"/>
      <c r="D12" s="244" t="str">
        <f>IF(H8&gt;2.5,"Round gears,one-stage",IF(H8&gt;1.5,"Zylindrische aussen Zahnräder, Einstufe","Silindirik alın dişlileri, Tek kademe"))</f>
        <v>Silindirik alın dişlileri, Tek kademe</v>
      </c>
      <c r="E12" s="442"/>
      <c r="F12" s="442"/>
      <c r="H12" s="442"/>
      <c r="I12" s="441"/>
      <c r="J12"/>
      <c r="K12"/>
      <c r="M12" s="6"/>
      <c r="N12" s="15"/>
      <c r="O12" s="1"/>
      <c r="P12" s="1"/>
      <c r="Q12" s="1"/>
      <c r="R12" s="1"/>
      <c r="S12" s="1"/>
      <c r="T12" s="1"/>
    </row>
    <row r="13" spans="1:20" s="156" customFormat="1" ht="18" customHeight="1">
      <c r="A13" s="245"/>
      <c r="C13" s="442"/>
      <c r="D13" s="244"/>
      <c r="E13" s="442"/>
      <c r="F13" s="442"/>
      <c r="H13" s="442"/>
      <c r="I13" s="441"/>
      <c r="J13"/>
      <c r="K13"/>
      <c r="M13" s="6"/>
      <c r="N13" s="15"/>
      <c r="O13" s="1"/>
      <c r="P13" s="1"/>
      <c r="Q13" s="1"/>
      <c r="R13" s="1"/>
      <c r="S13" s="1"/>
      <c r="T13" s="1"/>
    </row>
    <row r="14" spans="1:20" ht="18" customHeight="1">
      <c r="A14" s="245"/>
      <c r="B14" s="486" t="str">
        <f>IF($H$8&gt;2.5,"Table of contents",IF($H$8&gt;1.5,"INHALT",IF($H$8&gt;0.5,"içindekiler ","")))</f>
        <v>içindekiler </v>
      </c>
      <c r="C14" s="442"/>
      <c r="D14" s="442"/>
      <c r="E14" s="442"/>
      <c r="F14" s="442"/>
      <c r="G14" s="487" t="str">
        <f>B14</f>
        <v>içindekiler </v>
      </c>
      <c r="H14" s="442"/>
      <c r="I14" s="441"/>
      <c r="J14"/>
      <c r="K14"/>
      <c r="L14" s="486" t="str">
        <f>G14</f>
        <v>içindekiler </v>
      </c>
      <c r="M14" s="6"/>
      <c r="N14" s="15"/>
      <c r="S14" s="1"/>
      <c r="T14" s="1"/>
    </row>
    <row r="15" spans="1:20" ht="18" customHeight="1">
      <c r="A15" s="245"/>
      <c r="B15" s="150" t="str">
        <f>0!C2</f>
        <v>0. Programın kullanılması</v>
      </c>
      <c r="C15" s="442"/>
      <c r="D15" s="442"/>
      <c r="E15" s="425"/>
      <c r="F15" s="425"/>
      <c r="J15"/>
      <c r="K15"/>
      <c r="L15" s="15"/>
      <c r="M15" s="15"/>
      <c r="N15" s="15"/>
      <c r="S15" s="1"/>
      <c r="T15" s="1"/>
    </row>
    <row r="16" spans="1:20" ht="18" customHeight="1">
      <c r="A16" s="245"/>
      <c r="B16" s="150" t="str">
        <f>1!B9</f>
        <v>1. Temel değerler</v>
      </c>
      <c r="C16" s="425"/>
      <c r="D16" s="425"/>
      <c r="E16" s="425"/>
      <c r="F16" s="425"/>
      <c r="G16" s="490" t="str">
        <f>IF(H8&gt;2.5,"2. Geometrical data of stage",IF(H8&gt;1.5,"2. Geometrische Daten der Stufe ",IF(H8&gt;0.5,"2. Kademenin geometrik ölçüleri ","")))</f>
        <v>2. Kademenin geometrik ölçüleri </v>
      </c>
      <c r="J16"/>
      <c r="K16"/>
      <c r="L16" s="234" t="str">
        <f>3!B4</f>
        <v>3. Mukavemet hesapları  </v>
      </c>
      <c r="M16" s="156"/>
      <c r="N16" s="156"/>
      <c r="S16" s="1"/>
      <c r="T16" s="1"/>
    </row>
    <row r="17" spans="1:20" ht="18" customHeight="1">
      <c r="A17" s="245"/>
      <c r="B17" s="150" t="str">
        <f>4!B3</f>
        <v>4. Toleranslar ve Wk-Toleransları</v>
      </c>
      <c r="C17" s="245"/>
      <c r="D17" s="245"/>
      <c r="E17" s="425"/>
      <c r="F17" s="425"/>
      <c r="G17" s="150" t="str">
        <f>5!B4</f>
        <v>5. İşletme faktörü </v>
      </c>
      <c r="J17"/>
      <c r="K17"/>
      <c r="L17" s="234" t="str">
        <f>6!B5</f>
        <v>6. Gerekli emniyet faktörleri </v>
      </c>
      <c r="M17" s="6"/>
      <c r="S17" s="1"/>
      <c r="T17" s="1"/>
    </row>
    <row r="18" spans="1:20" ht="18" customHeight="1">
      <c r="A18" s="245"/>
      <c r="B18"/>
      <c r="C18"/>
      <c r="D18"/>
      <c r="E18"/>
      <c r="F18"/>
      <c r="G18"/>
      <c r="H18"/>
      <c r="I18"/>
      <c r="J18"/>
      <c r="K18"/>
      <c r="L18"/>
      <c r="M18"/>
      <c r="S18" s="1"/>
      <c r="T18" s="1"/>
    </row>
    <row r="19" spans="1:20" ht="18" customHeight="1">
      <c r="A19" s="245"/>
      <c r="B19"/>
      <c r="C19"/>
      <c r="D19"/>
      <c r="E19"/>
      <c r="F19"/>
      <c r="G19"/>
      <c r="H19"/>
      <c r="I19"/>
      <c r="J19"/>
      <c r="K19"/>
      <c r="L19"/>
      <c r="M19"/>
      <c r="S19" s="1"/>
      <c r="T19" s="1"/>
    </row>
    <row r="20" spans="1:20" ht="18" customHeight="1">
      <c r="A20" s="245"/>
      <c r="B20" s="15"/>
      <c r="C20" s="245"/>
      <c r="D20" s="245"/>
      <c r="E20" s="425"/>
      <c r="F20" s="425"/>
      <c r="G20" s="15"/>
      <c r="J20"/>
      <c r="K20"/>
      <c r="L20" s="15"/>
      <c r="S20" s="1"/>
      <c r="T20" s="1"/>
    </row>
    <row r="21" spans="1:20" s="156" customFormat="1" ht="18" customHeight="1">
      <c r="A21" s="245"/>
      <c r="B21" s="245"/>
      <c r="C21" s="245"/>
      <c r="D21" s="245"/>
      <c r="E21" s="245"/>
      <c r="F21" s="245"/>
      <c r="G21" s="1"/>
      <c r="H21" s="1"/>
      <c r="I21" s="1"/>
      <c r="J21"/>
      <c r="K21"/>
      <c r="M21" s="1"/>
      <c r="N21" s="15"/>
      <c r="O21" s="1"/>
      <c r="P21" s="1"/>
      <c r="Q21" s="1"/>
      <c r="R21" s="1"/>
      <c r="S21" s="1"/>
      <c r="T21" s="1"/>
    </row>
    <row r="22" spans="1:20" ht="18" customHeight="1">
      <c r="A22" s="245"/>
      <c r="B22" s="245"/>
      <c r="C22" s="245"/>
      <c r="D22" s="245"/>
      <c r="E22" s="245"/>
      <c r="F22" s="245"/>
      <c r="G22" s="425"/>
      <c r="H22" s="425"/>
      <c r="I22" s="425"/>
      <c r="J22"/>
      <c r="K22"/>
      <c r="L22" s="15"/>
      <c r="N22" s="14"/>
      <c r="O22" s="425"/>
      <c r="P22" s="425"/>
      <c r="Q22" s="425"/>
      <c r="R22" s="425"/>
      <c r="S22" s="243"/>
      <c r="T22" s="243"/>
    </row>
    <row r="23" spans="1:20" ht="18" customHeight="1">
      <c r="A23" s="245"/>
      <c r="B23" s="245"/>
      <c r="C23" s="245"/>
      <c r="D23" s="245"/>
      <c r="E23" s="245"/>
      <c r="F23" s="245"/>
      <c r="G23" s="425"/>
      <c r="H23" s="425"/>
      <c r="I23" s="425"/>
      <c r="J23"/>
      <c r="K23"/>
      <c r="L23" s="15"/>
      <c r="N23" s="14"/>
      <c r="O23" s="425"/>
      <c r="P23" s="425"/>
      <c r="Q23" s="425"/>
      <c r="R23" s="425"/>
      <c r="S23" s="245"/>
      <c r="T23" s="243"/>
    </row>
    <row r="24" spans="1:20" ht="18" customHeight="1">
      <c r="A24" s="245"/>
      <c r="B24" s="245"/>
      <c r="C24" s="245"/>
      <c r="D24" s="245"/>
      <c r="E24" s="245"/>
      <c r="F24" s="245"/>
      <c r="G24" s="425"/>
      <c r="H24" s="425"/>
      <c r="I24" s="425"/>
      <c r="J24" s="425"/>
      <c r="K24" s="425"/>
      <c r="L24" s="425"/>
      <c r="M24" s="425"/>
      <c r="N24" s="425"/>
      <c r="O24" s="425"/>
      <c r="P24" s="425"/>
      <c r="Q24" s="425"/>
      <c r="R24" s="425"/>
      <c r="S24" s="245"/>
      <c r="T24" s="243"/>
    </row>
    <row r="25" spans="1:20" s="156" customFormat="1" ht="18" customHeight="1">
      <c r="A25" s="245"/>
      <c r="B25" s="245"/>
      <c r="C25" s="245"/>
      <c r="D25" s="245"/>
      <c r="E25" s="245"/>
      <c r="F25" s="245"/>
      <c r="G25" s="425"/>
      <c r="H25" s="425"/>
      <c r="I25" s="425"/>
      <c r="J25" s="425"/>
      <c r="K25" s="425"/>
      <c r="L25" s="425"/>
      <c r="M25" s="425"/>
      <c r="N25" s="425"/>
      <c r="O25" s="245"/>
      <c r="P25" s="245"/>
      <c r="Q25" s="425"/>
      <c r="R25" s="425"/>
      <c r="S25" s="243"/>
      <c r="T25" s="243"/>
    </row>
    <row r="26" spans="1:20" ht="18" customHeight="1">
      <c r="A26" s="245"/>
      <c r="B26" s="245"/>
      <c r="C26" s="245"/>
      <c r="D26" s="245"/>
      <c r="E26" s="245"/>
      <c r="F26" s="245"/>
      <c r="G26" s="425"/>
      <c r="H26" s="425"/>
      <c r="I26" s="425"/>
      <c r="J26" s="425"/>
      <c r="K26" s="425"/>
      <c r="L26" s="425"/>
      <c r="M26" s="425"/>
      <c r="N26" s="425"/>
      <c r="O26" s="425"/>
      <c r="P26" s="425"/>
      <c r="Q26" s="425"/>
      <c r="R26" s="425"/>
      <c r="S26" s="243"/>
      <c r="T26" s="243"/>
    </row>
    <row r="27" spans="1:20" ht="18" customHeight="1">
      <c r="A27" s="245"/>
      <c r="B27" s="245"/>
      <c r="C27" s="245"/>
      <c r="D27" s="245"/>
      <c r="E27" s="245"/>
      <c r="F27" s="245"/>
      <c r="G27" s="425"/>
      <c r="H27" s="425"/>
      <c r="I27" s="425"/>
      <c r="J27" s="425"/>
      <c r="K27" s="425"/>
      <c r="L27" s="425"/>
      <c r="M27" s="425"/>
      <c r="N27" s="425"/>
      <c r="O27" s="425"/>
      <c r="P27" s="425"/>
      <c r="Q27" s="425"/>
      <c r="R27" s="425"/>
      <c r="S27" s="245"/>
      <c r="T27" s="245"/>
    </row>
    <row r="28" spans="1:20" ht="18" customHeight="1">
      <c r="A28" s="245"/>
      <c r="B28" s="245"/>
      <c r="C28" s="245"/>
      <c r="D28" s="245"/>
      <c r="E28" s="245"/>
      <c r="F28" s="245"/>
      <c r="G28" s="425"/>
      <c r="H28" s="425"/>
      <c r="I28" s="425"/>
      <c r="J28" s="425"/>
      <c r="K28" s="425"/>
      <c r="L28" s="425"/>
      <c r="M28" s="425"/>
      <c r="N28" s="425"/>
      <c r="O28" s="425"/>
      <c r="P28" s="425"/>
      <c r="Q28" s="425"/>
      <c r="R28" s="425"/>
      <c r="S28" s="245"/>
      <c r="T28" s="245"/>
    </row>
    <row r="29" spans="1:20" ht="18" customHeight="1">
      <c r="A29" s="443"/>
      <c r="B29" s="443"/>
      <c r="C29" s="443"/>
      <c r="D29" s="443"/>
      <c r="E29" s="443"/>
      <c r="F29" s="443"/>
      <c r="G29" s="443"/>
      <c r="H29" s="443"/>
      <c r="I29" s="443"/>
      <c r="J29" s="443"/>
      <c r="K29" s="443"/>
      <c r="L29" s="443"/>
      <c r="M29" s="443"/>
      <c r="N29" s="443"/>
      <c r="O29" s="443"/>
      <c r="P29" s="443"/>
      <c r="Q29" s="443"/>
      <c r="R29" s="243"/>
      <c r="S29" s="243"/>
      <c r="T29" s="243"/>
    </row>
    <row r="30" spans="1:20" ht="50.25" customHeight="1" hidden="1">
      <c r="A30" s="443"/>
      <c r="B30" s="676" t="s">
        <v>266</v>
      </c>
      <c r="C30" s="676"/>
      <c r="D30" s="676"/>
      <c r="E30" s="676"/>
      <c r="F30" s="676"/>
      <c r="G30" s="676"/>
      <c r="H30" s="676"/>
      <c r="I30" s="676"/>
      <c r="J30" s="676"/>
      <c r="K30" s="676"/>
      <c r="L30" s="676"/>
      <c r="M30" s="676"/>
      <c r="N30" s="676"/>
      <c r="O30" s="676"/>
      <c r="P30" s="676"/>
      <c r="Q30" s="444" t="s">
        <v>62</v>
      </c>
      <c r="R30" s="243"/>
      <c r="S30" s="243"/>
      <c r="T30" s="243"/>
    </row>
    <row r="31" spans="1:20" ht="18" customHeight="1" hidden="1">
      <c r="A31" s="443"/>
      <c r="B31" s="467"/>
      <c r="C31" s="467"/>
      <c r="D31" s="467"/>
      <c r="E31" s="467"/>
      <c r="F31" s="467"/>
      <c r="G31" s="467"/>
      <c r="H31" s="467"/>
      <c r="I31" s="467"/>
      <c r="J31" s="467"/>
      <c r="K31" s="467"/>
      <c r="L31" s="467"/>
      <c r="M31" s="467"/>
      <c r="N31" s="467"/>
      <c r="O31" s="467"/>
      <c r="P31" s="467"/>
      <c r="Q31" s="443"/>
      <c r="R31" s="243"/>
      <c r="S31" s="243"/>
      <c r="T31" s="243"/>
    </row>
    <row r="32" spans="1:20" ht="39.75" customHeight="1" hidden="1">
      <c r="A32" s="443"/>
      <c r="B32" s="669" t="s">
        <v>267</v>
      </c>
      <c r="C32" s="669"/>
      <c r="D32" s="669"/>
      <c r="E32" s="669"/>
      <c r="F32" s="669"/>
      <c r="G32" s="669"/>
      <c r="H32" s="669"/>
      <c r="I32" s="669"/>
      <c r="J32" s="669"/>
      <c r="K32" s="669"/>
      <c r="L32" s="669"/>
      <c r="M32" s="669"/>
      <c r="N32" s="669"/>
      <c r="O32" s="669"/>
      <c r="P32" s="669"/>
      <c r="Q32" s="445" t="s">
        <v>179</v>
      </c>
      <c r="R32" s="243"/>
      <c r="S32" s="243"/>
      <c r="T32" s="243"/>
    </row>
    <row r="33" spans="1:26" ht="18" customHeight="1" hidden="1">
      <c r="A33" s="443"/>
      <c r="B33" s="446"/>
      <c r="C33" s="446"/>
      <c r="D33" s="446"/>
      <c r="E33" s="446"/>
      <c r="F33" s="446"/>
      <c r="G33" s="446"/>
      <c r="H33" s="446"/>
      <c r="I33" s="446"/>
      <c r="J33" s="446"/>
      <c r="K33" s="446"/>
      <c r="L33" s="446"/>
      <c r="M33" s="446"/>
      <c r="N33" s="446"/>
      <c r="O33" s="446"/>
      <c r="P33" s="446"/>
      <c r="Q33" s="445"/>
      <c r="R33" s="243"/>
      <c r="S33" s="243"/>
      <c r="T33" s="243"/>
      <c r="Z33" s="14"/>
    </row>
    <row r="34" spans="1:26" ht="52.5" customHeight="1" hidden="1">
      <c r="A34" s="443"/>
      <c r="B34" s="670" t="s">
        <v>268</v>
      </c>
      <c r="C34" s="670"/>
      <c r="D34" s="670"/>
      <c r="E34" s="670"/>
      <c r="F34" s="670"/>
      <c r="G34" s="670"/>
      <c r="H34" s="670"/>
      <c r="I34" s="670"/>
      <c r="J34" s="670"/>
      <c r="K34" s="670"/>
      <c r="L34" s="670"/>
      <c r="M34" s="670"/>
      <c r="N34" s="670"/>
      <c r="O34" s="670"/>
      <c r="P34" s="670"/>
      <c r="Q34" s="447" t="s">
        <v>269</v>
      </c>
      <c r="R34" s="243"/>
      <c r="S34" s="243"/>
      <c r="T34" s="243"/>
      <c r="Z34" s="242"/>
    </row>
    <row r="35" spans="1:26" ht="18" customHeight="1" hidden="1">
      <c r="A35" s="443"/>
      <c r="B35" s="448"/>
      <c r="C35" s="448"/>
      <c r="D35" s="448"/>
      <c r="E35" s="448"/>
      <c r="F35" s="448"/>
      <c r="G35" s="448"/>
      <c r="H35" s="448"/>
      <c r="I35" s="448"/>
      <c r="J35" s="448"/>
      <c r="K35" s="448"/>
      <c r="L35" s="448"/>
      <c r="M35" s="448"/>
      <c r="N35" s="448"/>
      <c r="O35" s="448"/>
      <c r="P35" s="448"/>
      <c r="Q35" s="447"/>
      <c r="R35" s="243"/>
      <c r="S35" s="243"/>
      <c r="T35" s="243"/>
      <c r="Z35" s="155"/>
    </row>
    <row r="36" spans="1:26" ht="41.25" customHeight="1" hidden="1">
      <c r="A36" s="444"/>
      <c r="B36" s="676" t="s">
        <v>270</v>
      </c>
      <c r="C36" s="676"/>
      <c r="D36" s="676"/>
      <c r="E36" s="676"/>
      <c r="F36" s="676"/>
      <c r="G36" s="676"/>
      <c r="H36" s="676"/>
      <c r="I36" s="676"/>
      <c r="J36" s="676"/>
      <c r="K36" s="676"/>
      <c r="L36" s="676"/>
      <c r="M36" s="676"/>
      <c r="N36" s="676"/>
      <c r="O36" s="676"/>
      <c r="P36" s="676"/>
      <c r="Q36" s="444" t="s">
        <v>62</v>
      </c>
      <c r="R36" s="425"/>
      <c r="S36" s="425"/>
      <c r="T36" s="425"/>
      <c r="Z36" s="14"/>
    </row>
    <row r="37" spans="1:26" ht="18" customHeight="1" hidden="1">
      <c r="A37" s="444"/>
      <c r="B37" s="444"/>
      <c r="C37" s="444"/>
      <c r="D37" s="444"/>
      <c r="E37" s="444"/>
      <c r="F37" s="444"/>
      <c r="G37" s="444"/>
      <c r="H37" s="444"/>
      <c r="I37" s="444"/>
      <c r="J37" s="444"/>
      <c r="K37" s="444"/>
      <c r="L37" s="444"/>
      <c r="M37" s="444"/>
      <c r="N37" s="444"/>
      <c r="O37" s="444"/>
      <c r="P37" s="444"/>
      <c r="Q37" s="444"/>
      <c r="R37" s="425"/>
      <c r="S37" s="425"/>
      <c r="T37" s="425"/>
      <c r="Z37" s="11"/>
    </row>
    <row r="38" spans="1:26" ht="34.5" customHeight="1" hidden="1">
      <c r="A38" s="444"/>
      <c r="B38" s="669" t="s">
        <v>271</v>
      </c>
      <c r="C38" s="669"/>
      <c r="D38" s="669"/>
      <c r="E38" s="669"/>
      <c r="F38" s="669"/>
      <c r="G38" s="669"/>
      <c r="H38" s="669"/>
      <c r="I38" s="669"/>
      <c r="J38" s="669"/>
      <c r="K38" s="669"/>
      <c r="L38" s="669"/>
      <c r="M38" s="669"/>
      <c r="N38" s="669"/>
      <c r="O38" s="669"/>
      <c r="P38" s="669"/>
      <c r="Q38" s="445" t="s">
        <v>179</v>
      </c>
      <c r="R38" s="425"/>
      <c r="S38" s="425"/>
      <c r="T38" s="425"/>
      <c r="Z38" s="11"/>
    </row>
    <row r="39" spans="1:26" ht="13.5" customHeight="1" hidden="1">
      <c r="A39" s="444"/>
      <c r="B39" s="444"/>
      <c r="C39" s="444"/>
      <c r="D39" s="444"/>
      <c r="E39" s="444"/>
      <c r="F39" s="444"/>
      <c r="G39" s="444"/>
      <c r="H39" s="444"/>
      <c r="I39" s="444"/>
      <c r="J39" s="444"/>
      <c r="K39" s="444"/>
      <c r="L39" s="444"/>
      <c r="M39" s="444"/>
      <c r="N39" s="444"/>
      <c r="O39" s="444"/>
      <c r="P39" s="444"/>
      <c r="Q39" s="444"/>
      <c r="R39" s="425"/>
      <c r="S39" s="425"/>
      <c r="T39" s="425"/>
      <c r="Z39" s="11"/>
    </row>
    <row r="40" spans="1:20" ht="37.5" customHeight="1" hidden="1">
      <c r="A40" s="444"/>
      <c r="B40" s="670" t="s">
        <v>272</v>
      </c>
      <c r="C40" s="670"/>
      <c r="D40" s="670"/>
      <c r="E40" s="670"/>
      <c r="F40" s="670"/>
      <c r="G40" s="670"/>
      <c r="H40" s="670"/>
      <c r="I40" s="670"/>
      <c r="J40" s="670"/>
      <c r="K40" s="670"/>
      <c r="L40" s="670"/>
      <c r="M40" s="670"/>
      <c r="N40" s="670"/>
      <c r="O40" s="670"/>
      <c r="P40" s="670"/>
      <c r="Q40" s="447" t="s">
        <v>269</v>
      </c>
      <c r="R40" s="425"/>
      <c r="S40" s="425"/>
      <c r="T40" s="425"/>
    </row>
    <row r="41" ht="13.5" customHeight="1" hidden="1"/>
    <row r="42" ht="13.5" customHeight="1" hidden="1">
      <c r="Z42" s="14"/>
    </row>
    <row r="43" ht="13.5" customHeight="1" hidden="1">
      <c r="Z43" s="155"/>
    </row>
    <row r="44" ht="13.5" customHeight="1" hidden="1">
      <c r="Z44" s="14"/>
    </row>
    <row r="45" ht="13.5" customHeight="1" hidden="1">
      <c r="Z45" s="14"/>
    </row>
    <row r="46" ht="13.5" customHeight="1" hidden="1"/>
    <row r="47" ht="13.5" customHeight="1" hidden="1"/>
    <row r="48" ht="13.5" customHeight="1" hidden="1"/>
    <row r="49" ht="13.5" customHeight="1" hidden="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password="EF77" sheet="1" objects="1" scenarios="1"/>
  <mergeCells count="12">
    <mergeCell ref="B36:P36"/>
    <mergeCell ref="B38:P38"/>
    <mergeCell ref="B40:P40"/>
    <mergeCell ref="B32:P32"/>
    <mergeCell ref="B34:P34"/>
    <mergeCell ref="B3:P3"/>
    <mergeCell ref="B5:P5"/>
    <mergeCell ref="H8:H10"/>
    <mergeCell ref="B30:P30"/>
    <mergeCell ref="G7:J7"/>
    <mergeCell ref="J9:P10"/>
    <mergeCell ref="J8:P8"/>
  </mergeCells>
  <hyperlinks>
    <hyperlink ref="B7" r:id="rId1" display="www.guven-kutay.ch"/>
  </hyperlink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2"/>
  <headerFooter alignWithMargins="0">
    <oddFooter>&amp;L&amp;F / &amp;A</oddFooter>
  </headerFooter>
</worksheet>
</file>

<file path=xl/worksheets/sheet2.xml><?xml version="1.0" encoding="utf-8"?>
<worksheet xmlns="http://schemas.openxmlformats.org/spreadsheetml/2006/main" xmlns:r="http://schemas.openxmlformats.org/officeDocument/2006/relationships">
  <sheetPr codeName="Tabelle2"/>
  <dimension ref="A1:O66"/>
  <sheetViews>
    <sheetView showGridLines="0" showRowColHeaders="0" workbookViewId="0" topLeftCell="A1">
      <selection activeCell="G73" sqref="G73"/>
    </sheetView>
  </sheetViews>
  <sheetFormatPr defaultColWidth="11.421875" defaultRowHeight="12.75"/>
  <cols>
    <col min="1" max="2" width="4.7109375" style="1" customWidth="1"/>
    <col min="3" max="14" width="11.7109375" style="1" customWidth="1"/>
    <col min="15" max="15" width="7.00390625" style="1" customWidth="1"/>
    <col min="16" max="18" width="11.7109375" style="1" customWidth="1"/>
    <col min="19" max="27" width="10.7109375" style="1" customWidth="1"/>
    <col min="28" max="16384" width="11.421875" style="1" customWidth="1"/>
  </cols>
  <sheetData>
    <row r="1" spans="1:15" ht="19.5" customHeight="1">
      <c r="A1" s="449"/>
      <c r="B1" s="245"/>
      <c r="C1" s="151"/>
      <c r="D1" s="245"/>
      <c r="E1" s="245"/>
      <c r="F1" s="245"/>
      <c r="G1" s="245"/>
      <c r="H1" s="245"/>
      <c r="I1" s="245"/>
      <c r="J1" s="245"/>
      <c r="K1" s="245"/>
      <c r="M1" s="245"/>
      <c r="N1" s="245"/>
      <c r="O1" s="245"/>
    </row>
    <row r="2" spans="3:15" ht="19.5" customHeight="1">
      <c r="C2" s="450" t="str">
        <f>IF(F31&gt;2.5,C33,IF(F31&gt;1.5,C32,C31))</f>
        <v>0. Programın kullanılması</v>
      </c>
      <c r="D2" s="245"/>
      <c r="E2" s="245"/>
      <c r="F2" s="245"/>
      <c r="G2" s="245"/>
      <c r="H2" s="245"/>
      <c r="I2" s="245"/>
      <c r="J2" s="245"/>
      <c r="K2" s="245"/>
      <c r="L2" s="245"/>
      <c r="M2" s="245"/>
      <c r="N2" s="245"/>
      <c r="O2" s="245"/>
    </row>
    <row r="3" spans="1:15" ht="19.5" customHeight="1">
      <c r="A3" s="450"/>
      <c r="B3" s="245"/>
      <c r="C3" s="151"/>
      <c r="D3" s="245"/>
      <c r="E3" s="245"/>
      <c r="F3" s="245"/>
      <c r="G3" s="245"/>
      <c r="H3" s="245"/>
      <c r="I3" s="245"/>
      <c r="J3" s="245"/>
      <c r="K3" s="245"/>
      <c r="L3" s="245"/>
      <c r="M3" s="245"/>
      <c r="N3" s="245"/>
      <c r="O3" s="245"/>
    </row>
    <row r="4" spans="2:15" ht="33" customHeight="1">
      <c r="B4" s="153">
        <v>1</v>
      </c>
      <c r="C4" s="677" t="str">
        <f>IF(F31&gt;2.5,C37,IF(F31&gt;1.5,C36,C35))</f>
        <v>Bu programı bilgisayarınızda kendinize göre bir yere kopyasını çıkarınız. Hesap yapacağınız zaman bilgisayardaki programı kullanınız.</v>
      </c>
      <c r="D4" s="677"/>
      <c r="E4" s="677"/>
      <c r="F4" s="677"/>
      <c r="G4" s="677"/>
      <c r="H4" s="677"/>
      <c r="I4" s="677"/>
      <c r="J4" s="677"/>
      <c r="K4" s="677"/>
      <c r="L4" s="677"/>
      <c r="M4" s="677"/>
      <c r="N4" s="677"/>
      <c r="O4" s="245"/>
    </row>
    <row r="5" spans="2:15" ht="19.5" customHeight="1">
      <c r="B5" s="449"/>
      <c r="C5" s="151"/>
      <c r="D5" s="245"/>
      <c r="E5" s="245"/>
      <c r="F5" s="245"/>
      <c r="G5" s="245"/>
      <c r="H5" s="245"/>
      <c r="I5" s="245"/>
      <c r="J5" s="245"/>
      <c r="K5" s="245"/>
      <c r="L5" s="245"/>
      <c r="M5" s="245"/>
      <c r="N5" s="245"/>
      <c r="O5" s="245"/>
    </row>
    <row r="6" spans="2:15" ht="34.5" customHeight="1">
      <c r="B6" s="153">
        <f>B4+1</f>
        <v>2</v>
      </c>
      <c r="C6" s="677" t="str">
        <f>IF(F31&gt;2.5,C41,IF(F31&gt;1.5,C40,C39))</f>
        <v>Kullanacağınız sayfaya gelince, hesaplamaya başlamadan önce, bütün mavi karelerdeki değerleri siliniz. Böylece dikkatsizlik yanlışı yapma imkanını ortadan kaldırmış olursunuz.</v>
      </c>
      <c r="D6" s="677"/>
      <c r="E6" s="677"/>
      <c r="F6" s="677"/>
      <c r="G6" s="677"/>
      <c r="H6" s="677"/>
      <c r="I6" s="677"/>
      <c r="J6" s="677"/>
      <c r="K6" s="677"/>
      <c r="L6" s="677"/>
      <c r="M6" s="677"/>
      <c r="N6" s="677"/>
      <c r="O6" s="245"/>
    </row>
    <row r="7" spans="2:15" ht="19.5" customHeight="1">
      <c r="B7" s="449"/>
      <c r="C7" s="151"/>
      <c r="D7" s="451"/>
      <c r="E7" s="451"/>
      <c r="F7" s="451"/>
      <c r="G7" s="451"/>
      <c r="H7" s="451"/>
      <c r="I7" s="451"/>
      <c r="J7" s="451"/>
      <c r="K7" s="451"/>
      <c r="L7" s="451"/>
      <c r="M7" s="451"/>
      <c r="N7" s="451"/>
      <c r="O7" s="245"/>
    </row>
    <row r="8" spans="2:15" ht="39.75" customHeight="1">
      <c r="B8" s="153">
        <f>B6+1</f>
        <v>3</v>
      </c>
      <c r="C8" s="677" t="str">
        <f>IF(F31&gt;2.5,C45,IF(F31&gt;1.5,C44,C43))</f>
        <v>Sıra ile mavi karelere yapacağınız hesaba ait değerleri dikkatlice yerleştiriniz. Hesaplamalarınız için gerekli olmayan mavi karelere değerler yerleştirmek yanlış hesap sonuçlarına sebep olabilir. Dikkatli olmak gereklidir.</v>
      </c>
      <c r="D8" s="677"/>
      <c r="E8" s="677"/>
      <c r="F8" s="677"/>
      <c r="G8" s="677"/>
      <c r="H8" s="677"/>
      <c r="I8" s="677"/>
      <c r="J8" s="677"/>
      <c r="K8" s="677"/>
      <c r="L8" s="677"/>
      <c r="M8" s="677"/>
      <c r="N8" s="677"/>
      <c r="O8" s="245"/>
    </row>
    <row r="9" spans="2:15" ht="19.5" customHeight="1">
      <c r="B9" s="153"/>
      <c r="C9" s="151"/>
      <c r="D9" s="451"/>
      <c r="E9" s="451"/>
      <c r="F9" s="451"/>
      <c r="G9" s="451"/>
      <c r="H9" s="451"/>
      <c r="I9" s="451"/>
      <c r="J9" s="451"/>
      <c r="K9" s="451"/>
      <c r="L9" s="451"/>
      <c r="M9" s="451"/>
      <c r="N9" s="451"/>
      <c r="O9" s="245"/>
    </row>
    <row r="10" spans="2:15" ht="33" customHeight="1">
      <c r="B10" s="153">
        <f>B8+1</f>
        <v>4</v>
      </c>
      <c r="C10" s="661" t="str">
        <f>IF(F31&gt;2.5,C49,IF(F31&gt;1.5,C48,C47))</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0" s="661"/>
      <c r="E10" s="661"/>
      <c r="F10" s="661"/>
      <c r="G10" s="661"/>
      <c r="H10" s="661"/>
      <c r="I10" s="661"/>
      <c r="J10" s="661"/>
      <c r="K10" s="661"/>
      <c r="L10" s="661"/>
      <c r="M10" s="661"/>
      <c r="N10" s="661"/>
      <c r="O10" s="245"/>
    </row>
    <row r="11" spans="2:15" ht="19.5" customHeight="1">
      <c r="B11" s="449"/>
      <c r="C11" s="151"/>
      <c r="D11" s="451"/>
      <c r="E11" s="451"/>
      <c r="F11" s="451"/>
      <c r="G11" s="451"/>
      <c r="H11" s="451"/>
      <c r="I11" s="451"/>
      <c r="J11" s="451"/>
      <c r="K11" s="451"/>
      <c r="L11" s="451"/>
      <c r="M11" s="451"/>
      <c r="N11" s="451"/>
      <c r="O11" s="245"/>
    </row>
    <row r="12" spans="2:15" ht="35.25" customHeight="1">
      <c r="B12" s="153">
        <f>B10+1</f>
        <v>5</v>
      </c>
      <c r="C12" s="661" t="str">
        <f>IF(F31&gt;2.5,C53,IF(F31&gt;1.5,C52,C51))</f>
        <v>Çoğu mavi karenin çevresinde değerlerin nereden alınması gerektiğini gösteren bilgi bulunmaktadır. Bu gösterilere uyulması hesapların doğruluğu açısından çok önemlidir.</v>
      </c>
      <c r="D12" s="661"/>
      <c r="E12" s="661"/>
      <c r="F12" s="661"/>
      <c r="G12" s="661"/>
      <c r="H12" s="661"/>
      <c r="I12" s="661"/>
      <c r="J12" s="661"/>
      <c r="K12" s="661"/>
      <c r="L12" s="661"/>
      <c r="M12" s="661"/>
      <c r="N12" s="661"/>
      <c r="O12" s="245"/>
    </row>
    <row r="13" spans="2:15" ht="19.5" customHeight="1">
      <c r="B13" s="449"/>
      <c r="C13" s="151"/>
      <c r="D13" s="451"/>
      <c r="E13" s="451"/>
      <c r="F13" s="451"/>
      <c r="G13" s="451"/>
      <c r="H13" s="451"/>
      <c r="I13" s="451"/>
      <c r="J13" s="451"/>
      <c r="K13" s="451"/>
      <c r="L13" s="451"/>
      <c r="M13" s="451"/>
      <c r="N13" s="451"/>
      <c r="O13" s="245"/>
    </row>
    <row r="14" spans="2:15" ht="21" customHeight="1">
      <c r="B14" s="153">
        <f>B12+1</f>
        <v>6</v>
      </c>
      <c r="C14" s="661" t="str">
        <f>IF(F31&gt;2.5,C57,IF(F31&gt;1.5,C56,C55))</f>
        <v>İnanılır hesapların yapılabilinmesi için konu hakkında gereken teoriyi önceden öğrenmek avantajdır.</v>
      </c>
      <c r="D14" s="661"/>
      <c r="E14" s="661"/>
      <c r="F14" s="661"/>
      <c r="G14" s="661"/>
      <c r="H14" s="661"/>
      <c r="I14" s="661"/>
      <c r="J14" s="661"/>
      <c r="K14" s="661"/>
      <c r="L14" s="661"/>
      <c r="M14" s="661"/>
      <c r="N14" s="661"/>
      <c r="O14" s="245"/>
    </row>
    <row r="15" spans="2:15" ht="19.5" customHeight="1">
      <c r="B15" s="449"/>
      <c r="C15" s="151"/>
      <c r="D15" s="451"/>
      <c r="E15" s="451"/>
      <c r="F15" s="451"/>
      <c r="G15" s="451"/>
      <c r="H15" s="451"/>
      <c r="I15" s="451"/>
      <c r="J15" s="451"/>
      <c r="K15" s="451"/>
      <c r="L15" s="451"/>
      <c r="M15" s="451"/>
      <c r="N15" s="451"/>
      <c r="O15" s="245"/>
    </row>
    <row r="16" spans="2:15" ht="58.5" customHeight="1">
      <c r="B16" s="153">
        <f>B14+1</f>
        <v>7</v>
      </c>
      <c r="C16" s="661" t="str">
        <f>IF(F31&gt;2.5,C61,IF(F31&gt;1.5,C60,C59))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16" s="661"/>
      <c r="E16" s="661"/>
      <c r="F16" s="661"/>
      <c r="G16" s="661"/>
      <c r="H16" s="661"/>
      <c r="I16" s="661"/>
      <c r="J16" s="661"/>
      <c r="K16" s="661"/>
      <c r="L16" s="661"/>
      <c r="M16" s="661"/>
      <c r="N16" s="661"/>
      <c r="O16" s="245"/>
    </row>
    <row r="17" spans="2:15" ht="19.5" customHeight="1">
      <c r="B17" s="449"/>
      <c r="C17" s="151"/>
      <c r="D17" s="245"/>
      <c r="E17" s="245"/>
      <c r="F17" s="245"/>
      <c r="G17" s="245"/>
      <c r="H17" s="245"/>
      <c r="I17" s="245"/>
      <c r="J17" s="245"/>
      <c r="K17" s="245"/>
      <c r="L17" s="245"/>
      <c r="M17" s="245"/>
      <c r="N17" s="245"/>
      <c r="O17" s="245"/>
    </row>
    <row r="18" spans="2:15" ht="37.5" customHeight="1">
      <c r="B18" s="153">
        <f>B16+1</f>
        <v>8</v>
      </c>
      <c r="C18" s="677" t="str">
        <f>IF(F31&gt;2.5,C65,IF(F31&gt;1.5,C64,C63))</f>
        <v>Eğer hesaplamalarında özel bir konstruksiyonun hesabı gerekiyorsa veya öğrenmek istediğiniz bir şey varsa, hiç çekinmeden bizimle temasa geçebilirsiniz. Bilgimizin yettiği kadar size memnuniyetle yardım ederiz.</v>
      </c>
      <c r="D18" s="677"/>
      <c r="E18" s="677"/>
      <c r="F18" s="677"/>
      <c r="G18" s="677"/>
      <c r="H18" s="677"/>
      <c r="I18" s="677"/>
      <c r="J18" s="677"/>
      <c r="K18" s="677"/>
      <c r="L18" s="677"/>
      <c r="M18" s="677"/>
      <c r="N18" s="677"/>
      <c r="O18" s="245"/>
    </row>
    <row r="19" spans="1:15" ht="19.5" customHeight="1">
      <c r="A19" s="449"/>
      <c r="B19" s="245"/>
      <c r="C19" s="453" t="str">
        <f>Info!B7</f>
        <v>www.guven-kutay.ch</v>
      </c>
      <c r="D19" s="245"/>
      <c r="E19" s="245"/>
      <c r="F19" s="245"/>
      <c r="G19" s="245"/>
      <c r="H19" s="245"/>
      <c r="I19" s="245"/>
      <c r="K19" s="453" t="str">
        <f>Info!M7</f>
        <v>Copyright : M. G. Kutay , Ver 13.01</v>
      </c>
      <c r="L19" s="454"/>
      <c r="M19" s="245"/>
      <c r="O19" s="453"/>
    </row>
    <row r="20" spans="1:15" ht="19.5" customHeight="1">
      <c r="A20" s="449"/>
      <c r="B20" s="245"/>
      <c r="C20" s="452"/>
      <c r="J20" s="245"/>
      <c r="K20" s="245"/>
      <c r="L20" s="245"/>
      <c r="M20" s="245"/>
      <c r="N20" s="245"/>
      <c r="O20" s="245"/>
    </row>
    <row r="21" spans="1:15" ht="19.5" customHeight="1">
      <c r="A21" s="449"/>
      <c r="B21" s="245"/>
      <c r="C21" s="151"/>
      <c r="D21" s="245"/>
      <c r="E21" s="245"/>
      <c r="F21" s="245"/>
      <c r="G21" s="245"/>
      <c r="H21" s="245"/>
      <c r="I21" s="245"/>
      <c r="J21" s="245"/>
      <c r="K21" s="245"/>
      <c r="L21" s="245"/>
      <c r="M21" s="245"/>
      <c r="N21" s="245"/>
      <c r="O21" s="245"/>
    </row>
    <row r="22" spans="1:15" ht="19.5" customHeight="1">
      <c r="A22" s="449"/>
      <c r="B22" s="245"/>
      <c r="C22" s="151"/>
      <c r="D22" s="245"/>
      <c r="E22" s="245"/>
      <c r="F22" s="245"/>
      <c r="G22" s="245"/>
      <c r="H22" s="245"/>
      <c r="I22" s="245"/>
      <c r="J22" s="245"/>
      <c r="K22" s="245"/>
      <c r="L22" s="245"/>
      <c r="M22" s="245"/>
      <c r="N22" s="245"/>
      <c r="O22" s="245"/>
    </row>
    <row r="23" spans="1:15" ht="19.5" customHeight="1">
      <c r="A23" s="449"/>
      <c r="B23" s="245"/>
      <c r="C23" s="151"/>
      <c r="D23" s="245"/>
      <c r="E23" s="245"/>
      <c r="F23" s="245"/>
      <c r="G23" s="245"/>
      <c r="H23" s="245"/>
      <c r="I23" s="245"/>
      <c r="J23" s="245"/>
      <c r="K23" s="245"/>
      <c r="L23" s="245"/>
      <c r="M23" s="245"/>
      <c r="N23" s="245"/>
      <c r="O23" s="245"/>
    </row>
    <row r="24" spans="1:15" ht="19.5" customHeight="1">
      <c r="A24" s="449"/>
      <c r="B24" s="245"/>
      <c r="C24" s="151"/>
      <c r="D24" s="245"/>
      <c r="E24" s="245"/>
      <c r="F24" s="245"/>
      <c r="G24" s="245"/>
      <c r="H24" s="245"/>
      <c r="I24" s="245"/>
      <c r="J24" s="245"/>
      <c r="K24" s="245"/>
      <c r="L24" s="245"/>
      <c r="M24" s="245"/>
      <c r="N24" s="245"/>
      <c r="O24" s="245"/>
    </row>
    <row r="25" spans="1:15" ht="19.5" customHeight="1">
      <c r="A25" s="449"/>
      <c r="B25" s="245"/>
      <c r="C25" s="151"/>
      <c r="D25" s="245"/>
      <c r="E25" s="245"/>
      <c r="F25" s="245"/>
      <c r="G25" s="245"/>
      <c r="H25" s="245"/>
      <c r="I25" s="245"/>
      <c r="J25" s="245"/>
      <c r="K25" s="245"/>
      <c r="L25" s="245"/>
      <c r="M25" s="245"/>
      <c r="N25" s="245"/>
      <c r="O25" s="245"/>
    </row>
    <row r="26" spans="1:15" ht="19.5" customHeight="1">
      <c r="A26" s="449"/>
      <c r="B26" s="245"/>
      <c r="C26" s="151"/>
      <c r="D26" s="245"/>
      <c r="E26" s="245"/>
      <c r="F26" s="245"/>
      <c r="G26" s="245"/>
      <c r="H26" s="245"/>
      <c r="I26" s="245"/>
      <c r="J26" s="245"/>
      <c r="K26" s="245"/>
      <c r="L26" s="245"/>
      <c r="M26" s="245"/>
      <c r="N26" s="245"/>
      <c r="O26" s="245"/>
    </row>
    <row r="27" spans="1:15" ht="19.5" customHeight="1">
      <c r="A27" s="449"/>
      <c r="B27" s="245"/>
      <c r="C27" s="151"/>
      <c r="D27" s="245"/>
      <c r="E27" s="245"/>
      <c r="F27" s="245"/>
      <c r="G27" s="245"/>
      <c r="H27" s="245"/>
      <c r="I27" s="245"/>
      <c r="J27" s="245"/>
      <c r="K27" s="245"/>
      <c r="L27" s="245"/>
      <c r="M27" s="245"/>
      <c r="N27" s="245"/>
      <c r="O27" s="245"/>
    </row>
    <row r="28" spans="1:15" ht="19.5" customHeight="1">
      <c r="A28" s="449"/>
      <c r="B28" s="245"/>
      <c r="C28" s="151"/>
      <c r="D28" s="245"/>
      <c r="E28" s="245"/>
      <c r="F28" s="245"/>
      <c r="G28" s="245"/>
      <c r="H28" s="245"/>
      <c r="I28" s="245"/>
      <c r="J28" s="245"/>
      <c r="K28" s="245"/>
      <c r="L28" s="245"/>
      <c r="M28" s="245"/>
      <c r="N28" s="245"/>
      <c r="O28" s="245"/>
    </row>
    <row r="29" spans="1:15" ht="19.5" customHeight="1">
      <c r="A29" s="449"/>
      <c r="B29" s="245"/>
      <c r="C29" s="151"/>
      <c r="D29" s="245"/>
      <c r="E29" s="245"/>
      <c r="F29" s="245"/>
      <c r="G29" s="245"/>
      <c r="H29" s="245"/>
      <c r="I29" s="245"/>
      <c r="J29" s="245"/>
      <c r="K29" s="245"/>
      <c r="L29" s="245"/>
      <c r="M29" s="245"/>
      <c r="N29" s="245"/>
      <c r="O29" s="245"/>
    </row>
    <row r="30" spans="1:15" ht="19.5" customHeight="1">
      <c r="A30" s="449"/>
      <c r="B30" s="245"/>
      <c r="C30" s="151"/>
      <c r="D30" s="245"/>
      <c r="E30" s="245"/>
      <c r="F30" s="245"/>
      <c r="G30" s="245"/>
      <c r="H30" s="245"/>
      <c r="I30" s="245"/>
      <c r="J30" s="245"/>
      <c r="K30" s="245"/>
      <c r="L30" s="245"/>
      <c r="M30" s="245"/>
      <c r="N30" s="245"/>
      <c r="O30" s="245"/>
    </row>
    <row r="31" spans="1:15" ht="18.75" customHeight="1" hidden="1">
      <c r="A31" s="243" t="s">
        <v>62</v>
      </c>
      <c r="B31" s="245"/>
      <c r="C31" s="665" t="s">
        <v>289</v>
      </c>
      <c r="D31" s="665"/>
      <c r="E31" s="665"/>
      <c r="F31" s="666">
        <f>Info!H8</f>
        <v>1</v>
      </c>
      <c r="G31" s="151"/>
      <c r="H31" s="151"/>
      <c r="I31" s="151"/>
      <c r="J31" s="151"/>
      <c r="K31" s="151"/>
      <c r="L31" s="151"/>
      <c r="M31" s="151"/>
      <c r="N31" s="151"/>
      <c r="O31" s="245"/>
    </row>
    <row r="32" spans="1:15" ht="19.5" customHeight="1" hidden="1">
      <c r="A32" s="456" t="s">
        <v>63</v>
      </c>
      <c r="B32" s="456"/>
      <c r="C32" s="663" t="s">
        <v>290</v>
      </c>
      <c r="D32" s="663"/>
      <c r="E32" s="663"/>
      <c r="F32" s="666"/>
      <c r="G32" s="456"/>
      <c r="H32" s="456"/>
      <c r="I32" s="456"/>
      <c r="J32" s="456"/>
      <c r="K32" s="456"/>
      <c r="L32" s="456"/>
      <c r="M32" s="456"/>
      <c r="N32" s="151"/>
      <c r="O32" s="245"/>
    </row>
    <row r="33" spans="1:15" ht="19.5" customHeight="1" hidden="1">
      <c r="A33" s="457" t="s">
        <v>64</v>
      </c>
      <c r="B33" s="457"/>
      <c r="C33" s="664" t="s">
        <v>291</v>
      </c>
      <c r="D33" s="664"/>
      <c r="E33" s="664"/>
      <c r="F33" s="666"/>
      <c r="G33" s="457"/>
      <c r="H33" s="457"/>
      <c r="I33" s="457"/>
      <c r="J33" s="457"/>
      <c r="K33" s="457"/>
      <c r="L33" s="457"/>
      <c r="M33" s="457"/>
      <c r="N33" s="151"/>
      <c r="O33" s="245"/>
    </row>
    <row r="34" spans="1:15" ht="19.5" customHeight="1" hidden="1">
      <c r="A34" s="449"/>
      <c r="B34" s="151"/>
      <c r="C34" s="151"/>
      <c r="D34" s="151"/>
      <c r="E34" s="151"/>
      <c r="F34" s="455"/>
      <c r="G34" s="151"/>
      <c r="H34" s="151"/>
      <c r="I34" s="151"/>
      <c r="J34" s="151"/>
      <c r="K34" s="151"/>
      <c r="L34" s="151"/>
      <c r="M34" s="151"/>
      <c r="N34" s="151"/>
      <c r="O34" s="245"/>
    </row>
    <row r="35" spans="1:15" ht="19.5" customHeight="1" hidden="1">
      <c r="A35" s="229">
        <v>1</v>
      </c>
      <c r="B35" s="228"/>
      <c r="C35" s="662" t="s">
        <v>273</v>
      </c>
      <c r="D35" s="662"/>
      <c r="E35" s="662"/>
      <c r="F35" s="662"/>
      <c r="G35" s="662"/>
      <c r="H35" s="662"/>
      <c r="I35" s="662"/>
      <c r="J35" s="662"/>
      <c r="K35" s="662"/>
      <c r="L35" s="662"/>
      <c r="M35" s="662"/>
      <c r="N35" s="662"/>
      <c r="O35" s="227"/>
    </row>
    <row r="36" spans="1:15" ht="36.75" customHeight="1" hidden="1">
      <c r="A36" s="458">
        <v>1</v>
      </c>
      <c r="B36" s="456"/>
      <c r="C36" s="663" t="s">
        <v>274</v>
      </c>
      <c r="D36" s="663"/>
      <c r="E36" s="663"/>
      <c r="F36" s="663"/>
      <c r="G36" s="663"/>
      <c r="H36" s="663"/>
      <c r="I36" s="663"/>
      <c r="J36" s="663"/>
      <c r="K36" s="663"/>
      <c r="L36" s="663"/>
      <c r="M36" s="663"/>
      <c r="N36" s="663"/>
      <c r="O36" s="227"/>
    </row>
    <row r="37" spans="1:15" ht="19.5" customHeight="1" hidden="1">
      <c r="A37" s="459">
        <v>1</v>
      </c>
      <c r="B37" s="457"/>
      <c r="C37" s="664" t="s">
        <v>275</v>
      </c>
      <c r="D37" s="664"/>
      <c r="E37" s="664"/>
      <c r="F37" s="664"/>
      <c r="G37" s="664"/>
      <c r="H37" s="664"/>
      <c r="I37" s="664"/>
      <c r="J37" s="664"/>
      <c r="K37" s="664"/>
      <c r="L37" s="664"/>
      <c r="M37" s="664"/>
      <c r="N37" s="664"/>
      <c r="O37" s="227"/>
    </row>
    <row r="38" spans="1:15" ht="19.5" customHeight="1" hidden="1">
      <c r="A38" s="229"/>
      <c r="B38" s="228"/>
      <c r="C38" s="228"/>
      <c r="D38" s="228"/>
      <c r="E38" s="228"/>
      <c r="F38" s="228"/>
      <c r="G38" s="228"/>
      <c r="H38" s="228"/>
      <c r="I38" s="228"/>
      <c r="J38" s="228"/>
      <c r="K38" s="228"/>
      <c r="L38" s="228"/>
      <c r="M38" s="228"/>
      <c r="N38" s="228"/>
      <c r="O38" s="227"/>
    </row>
    <row r="39" spans="1:15" ht="31.5" customHeight="1" hidden="1">
      <c r="A39" s="229">
        <f>A35+1</f>
        <v>2</v>
      </c>
      <c r="B39" s="227"/>
      <c r="C39" s="662" t="s">
        <v>65</v>
      </c>
      <c r="D39" s="662"/>
      <c r="E39" s="662"/>
      <c r="F39" s="662"/>
      <c r="G39" s="662"/>
      <c r="H39" s="662"/>
      <c r="I39" s="662"/>
      <c r="J39" s="662"/>
      <c r="K39" s="662"/>
      <c r="L39" s="662"/>
      <c r="M39" s="662"/>
      <c r="N39" s="662"/>
      <c r="O39" s="227"/>
    </row>
    <row r="40" spans="1:15" ht="31.5" customHeight="1" hidden="1">
      <c r="A40" s="458">
        <f>A36+1</f>
        <v>2</v>
      </c>
      <c r="B40" s="456"/>
      <c r="C40" s="663" t="s">
        <v>69</v>
      </c>
      <c r="D40" s="663"/>
      <c r="E40" s="663"/>
      <c r="F40" s="663"/>
      <c r="G40" s="663"/>
      <c r="H40" s="663"/>
      <c r="I40" s="663"/>
      <c r="J40" s="663"/>
      <c r="K40" s="663"/>
      <c r="L40" s="663"/>
      <c r="M40" s="663"/>
      <c r="N40" s="663"/>
      <c r="O40" s="227"/>
    </row>
    <row r="41" spans="1:15" ht="19.5" customHeight="1" hidden="1">
      <c r="A41" s="459">
        <f>A37+1</f>
        <v>2</v>
      </c>
      <c r="B41" s="457"/>
      <c r="C41" s="664" t="s">
        <v>276</v>
      </c>
      <c r="D41" s="664"/>
      <c r="E41" s="664"/>
      <c r="F41" s="664"/>
      <c r="G41" s="664"/>
      <c r="H41" s="664"/>
      <c r="I41" s="664"/>
      <c r="J41" s="664"/>
      <c r="K41" s="664"/>
      <c r="L41" s="664"/>
      <c r="M41" s="664"/>
      <c r="N41" s="664"/>
      <c r="O41" s="227"/>
    </row>
    <row r="42" spans="1:15" ht="19.5" customHeight="1" hidden="1">
      <c r="A42" s="229"/>
      <c r="B42" s="227"/>
      <c r="C42" s="228"/>
      <c r="D42" s="228"/>
      <c r="E42" s="228"/>
      <c r="F42" s="228"/>
      <c r="G42" s="228"/>
      <c r="H42" s="228"/>
      <c r="I42" s="228"/>
      <c r="J42" s="228"/>
      <c r="K42" s="228"/>
      <c r="L42" s="228"/>
      <c r="M42" s="228"/>
      <c r="N42" s="228"/>
      <c r="O42" s="227"/>
    </row>
    <row r="43" spans="1:15" ht="36" customHeight="1" hidden="1">
      <c r="A43" s="229">
        <f>A39+1</f>
        <v>3</v>
      </c>
      <c r="B43" s="227"/>
      <c r="C43" s="662" t="s">
        <v>66</v>
      </c>
      <c r="D43" s="662"/>
      <c r="E43" s="662"/>
      <c r="F43" s="662"/>
      <c r="G43" s="662"/>
      <c r="H43" s="662"/>
      <c r="I43" s="662"/>
      <c r="J43" s="662"/>
      <c r="K43" s="662"/>
      <c r="L43" s="662"/>
      <c r="M43" s="662"/>
      <c r="N43" s="662"/>
      <c r="O43" s="227"/>
    </row>
    <row r="44" spans="1:15" ht="36" customHeight="1" hidden="1">
      <c r="A44" s="458">
        <f>A40+1</f>
        <v>3</v>
      </c>
      <c r="B44" s="456"/>
      <c r="C44" s="663" t="s">
        <v>70</v>
      </c>
      <c r="D44" s="663"/>
      <c r="E44" s="663"/>
      <c r="F44" s="663"/>
      <c r="G44" s="663"/>
      <c r="H44" s="663"/>
      <c r="I44" s="663"/>
      <c r="J44" s="663"/>
      <c r="K44" s="663"/>
      <c r="L44" s="663"/>
      <c r="M44" s="663"/>
      <c r="N44" s="663"/>
      <c r="O44" s="227"/>
    </row>
    <row r="45" spans="1:15" ht="19.5" customHeight="1" hidden="1">
      <c r="A45" s="459">
        <f>A41+1</f>
        <v>3</v>
      </c>
      <c r="B45" s="457"/>
      <c r="C45" s="664" t="s">
        <v>277</v>
      </c>
      <c r="D45" s="664"/>
      <c r="E45" s="664"/>
      <c r="F45" s="664"/>
      <c r="G45" s="664"/>
      <c r="H45" s="664"/>
      <c r="I45" s="664"/>
      <c r="J45" s="664"/>
      <c r="K45" s="664"/>
      <c r="L45" s="664"/>
      <c r="M45" s="664"/>
      <c r="N45" s="664"/>
      <c r="O45" s="227"/>
    </row>
    <row r="46" spans="1:15" ht="19.5" customHeight="1" hidden="1">
      <c r="A46" s="229"/>
      <c r="B46" s="227"/>
      <c r="C46" s="228"/>
      <c r="D46" s="228"/>
      <c r="E46" s="228"/>
      <c r="F46" s="228"/>
      <c r="G46" s="228"/>
      <c r="H46" s="228"/>
      <c r="I46" s="228"/>
      <c r="J46" s="228"/>
      <c r="K46" s="228"/>
      <c r="L46" s="228"/>
      <c r="M46" s="228"/>
      <c r="N46" s="228"/>
      <c r="O46" s="227"/>
    </row>
    <row r="47" spans="1:15" ht="34.5" customHeight="1" hidden="1">
      <c r="A47" s="229">
        <f>A43+1</f>
        <v>4</v>
      </c>
      <c r="B47" s="227"/>
      <c r="C47" s="662" t="s">
        <v>67</v>
      </c>
      <c r="D47" s="662"/>
      <c r="E47" s="662"/>
      <c r="F47" s="662"/>
      <c r="G47" s="662"/>
      <c r="H47" s="662"/>
      <c r="I47" s="662"/>
      <c r="J47" s="662"/>
      <c r="K47" s="662"/>
      <c r="L47" s="662"/>
      <c r="M47" s="662"/>
      <c r="N47" s="662"/>
      <c r="O47" s="227"/>
    </row>
    <row r="48" spans="1:15" ht="38.25" customHeight="1" hidden="1">
      <c r="A48" s="458">
        <f>A44+1</f>
        <v>4</v>
      </c>
      <c r="B48" s="456"/>
      <c r="C48" s="663" t="s">
        <v>71</v>
      </c>
      <c r="D48" s="663"/>
      <c r="E48" s="663"/>
      <c r="F48" s="663"/>
      <c r="G48" s="663"/>
      <c r="H48" s="663"/>
      <c r="I48" s="663"/>
      <c r="J48" s="663"/>
      <c r="K48" s="663"/>
      <c r="L48" s="663"/>
      <c r="M48" s="663"/>
      <c r="N48" s="663"/>
      <c r="O48" s="227"/>
    </row>
    <row r="49" spans="1:15" ht="19.5" customHeight="1" hidden="1">
      <c r="A49" s="459">
        <f>A45+1</f>
        <v>4</v>
      </c>
      <c r="B49" s="457"/>
      <c r="C49" s="664" t="s">
        <v>278</v>
      </c>
      <c r="D49" s="664"/>
      <c r="E49" s="664"/>
      <c r="F49" s="664"/>
      <c r="G49" s="664"/>
      <c r="H49" s="664"/>
      <c r="I49" s="664"/>
      <c r="J49" s="664"/>
      <c r="K49" s="664"/>
      <c r="L49" s="664"/>
      <c r="M49" s="664"/>
      <c r="N49" s="664"/>
      <c r="O49" s="227"/>
    </row>
    <row r="50" spans="1:15" ht="19.5" customHeight="1" hidden="1">
      <c r="A50" s="229"/>
      <c r="B50" s="227"/>
      <c r="C50" s="228"/>
      <c r="D50" s="228"/>
      <c r="E50" s="228"/>
      <c r="F50" s="228"/>
      <c r="G50" s="228"/>
      <c r="H50" s="228"/>
      <c r="I50" s="228"/>
      <c r="J50" s="228"/>
      <c r="K50" s="228"/>
      <c r="L50" s="228"/>
      <c r="M50" s="228"/>
      <c r="N50" s="228"/>
      <c r="O50" s="227"/>
    </row>
    <row r="51" spans="1:15" ht="19.5" customHeight="1" hidden="1">
      <c r="A51" s="229">
        <f>A47+1</f>
        <v>5</v>
      </c>
      <c r="B51" s="227"/>
      <c r="C51" s="662" t="s">
        <v>68</v>
      </c>
      <c r="D51" s="662"/>
      <c r="E51" s="662"/>
      <c r="F51" s="662"/>
      <c r="G51" s="662"/>
      <c r="H51" s="662"/>
      <c r="I51" s="662"/>
      <c r="J51" s="662"/>
      <c r="K51" s="662"/>
      <c r="L51" s="662"/>
      <c r="M51" s="662"/>
      <c r="N51" s="662"/>
      <c r="O51" s="227"/>
    </row>
    <row r="52" spans="1:15" ht="19.5" customHeight="1" hidden="1">
      <c r="A52" s="458">
        <f>A48+1</f>
        <v>5</v>
      </c>
      <c r="B52" s="456"/>
      <c r="C52" s="663" t="s">
        <v>72</v>
      </c>
      <c r="D52" s="663"/>
      <c r="E52" s="663"/>
      <c r="F52" s="663"/>
      <c r="G52" s="663"/>
      <c r="H52" s="663"/>
      <c r="I52" s="663"/>
      <c r="J52" s="663"/>
      <c r="K52" s="663"/>
      <c r="L52" s="663"/>
      <c r="M52" s="663"/>
      <c r="N52" s="663"/>
      <c r="O52" s="227"/>
    </row>
    <row r="53" spans="1:15" ht="19.5" customHeight="1" hidden="1">
      <c r="A53" s="459">
        <f>A49+1</f>
        <v>5</v>
      </c>
      <c r="B53" s="457"/>
      <c r="C53" s="664" t="s">
        <v>279</v>
      </c>
      <c r="D53" s="664"/>
      <c r="E53" s="664"/>
      <c r="F53" s="664"/>
      <c r="G53" s="664"/>
      <c r="H53" s="664"/>
      <c r="I53" s="664"/>
      <c r="J53" s="664"/>
      <c r="K53" s="664"/>
      <c r="L53" s="664"/>
      <c r="M53" s="664"/>
      <c r="N53" s="664"/>
      <c r="O53" s="227"/>
    </row>
    <row r="54" spans="1:15" ht="19.5" customHeight="1" hidden="1">
      <c r="A54" s="229"/>
      <c r="B54" s="227"/>
      <c r="C54" s="228"/>
      <c r="D54" s="228"/>
      <c r="E54" s="228"/>
      <c r="F54" s="228"/>
      <c r="G54" s="228"/>
      <c r="H54" s="228"/>
      <c r="I54" s="228"/>
      <c r="J54" s="228"/>
      <c r="K54" s="228"/>
      <c r="L54" s="228"/>
      <c r="M54" s="228"/>
      <c r="N54" s="228"/>
      <c r="O54" s="227"/>
    </row>
    <row r="55" spans="1:15" ht="19.5" customHeight="1" hidden="1">
      <c r="A55" s="229">
        <f>A51+1</f>
        <v>6</v>
      </c>
      <c r="B55" s="227"/>
      <c r="C55" s="662" t="s">
        <v>280</v>
      </c>
      <c r="D55" s="662"/>
      <c r="E55" s="662"/>
      <c r="F55" s="662"/>
      <c r="G55" s="662"/>
      <c r="H55" s="662"/>
      <c r="I55" s="662"/>
      <c r="J55" s="662"/>
      <c r="K55" s="662"/>
      <c r="L55" s="662"/>
      <c r="M55" s="662"/>
      <c r="N55" s="662"/>
      <c r="O55" s="227"/>
    </row>
    <row r="56" spans="1:15" ht="19.5" customHeight="1" hidden="1">
      <c r="A56" s="458">
        <f>A52+1</f>
        <v>6</v>
      </c>
      <c r="B56" s="456"/>
      <c r="C56" s="663" t="s">
        <v>281</v>
      </c>
      <c r="D56" s="663"/>
      <c r="E56" s="663"/>
      <c r="F56" s="663"/>
      <c r="G56" s="663"/>
      <c r="H56" s="663"/>
      <c r="I56" s="663"/>
      <c r="J56" s="663"/>
      <c r="K56" s="663"/>
      <c r="L56" s="663"/>
      <c r="M56" s="663"/>
      <c r="N56" s="663"/>
      <c r="O56" s="227"/>
    </row>
    <row r="57" spans="1:15" ht="19.5" customHeight="1" hidden="1">
      <c r="A57" s="459">
        <f>A53+1</f>
        <v>6</v>
      </c>
      <c r="B57" s="457"/>
      <c r="C57" s="664" t="s">
        <v>282</v>
      </c>
      <c r="D57" s="664"/>
      <c r="E57" s="664"/>
      <c r="F57" s="664"/>
      <c r="G57" s="664"/>
      <c r="H57" s="664"/>
      <c r="I57" s="664"/>
      <c r="J57" s="664"/>
      <c r="K57" s="664"/>
      <c r="L57" s="664"/>
      <c r="M57" s="664"/>
      <c r="N57" s="664"/>
      <c r="O57" s="227"/>
    </row>
    <row r="58" spans="1:15" ht="19.5" customHeight="1" hidden="1">
      <c r="A58" s="229"/>
      <c r="B58" s="227"/>
      <c r="C58" s="228"/>
      <c r="D58" s="228"/>
      <c r="E58" s="228"/>
      <c r="F58" s="228"/>
      <c r="G58" s="228"/>
      <c r="H58" s="228"/>
      <c r="I58" s="228"/>
      <c r="J58" s="228"/>
      <c r="K58" s="228"/>
      <c r="L58" s="228"/>
      <c r="M58" s="228"/>
      <c r="N58" s="228"/>
      <c r="O58" s="227"/>
    </row>
    <row r="59" spans="1:15" ht="68.25" customHeight="1" hidden="1">
      <c r="A59" s="229">
        <f>A55+1</f>
        <v>7</v>
      </c>
      <c r="B59" s="227"/>
      <c r="C59" s="662" t="s">
        <v>283</v>
      </c>
      <c r="D59" s="662"/>
      <c r="E59" s="662"/>
      <c r="F59" s="662"/>
      <c r="G59" s="662"/>
      <c r="H59" s="662"/>
      <c r="I59" s="662"/>
      <c r="J59" s="662"/>
      <c r="K59" s="662"/>
      <c r="L59" s="662"/>
      <c r="M59" s="662"/>
      <c r="N59" s="662"/>
      <c r="O59" s="227"/>
    </row>
    <row r="60" spans="1:15" ht="65.25" customHeight="1" hidden="1">
      <c r="A60" s="458">
        <f>A56+1</f>
        <v>7</v>
      </c>
      <c r="B60" s="456"/>
      <c r="C60" s="663" t="s">
        <v>73</v>
      </c>
      <c r="D60" s="663"/>
      <c r="E60" s="663"/>
      <c r="F60" s="663"/>
      <c r="G60" s="663"/>
      <c r="H60" s="663"/>
      <c r="I60" s="663"/>
      <c r="J60" s="663"/>
      <c r="K60" s="663"/>
      <c r="L60" s="663"/>
      <c r="M60" s="663"/>
      <c r="N60" s="663"/>
      <c r="O60" s="227"/>
    </row>
    <row r="61" spans="1:15" ht="48" customHeight="1" hidden="1">
      <c r="A61" s="459">
        <f>A57+1</f>
        <v>7</v>
      </c>
      <c r="B61" s="457"/>
      <c r="C61" s="664" t="s">
        <v>284</v>
      </c>
      <c r="D61" s="664"/>
      <c r="E61" s="664"/>
      <c r="F61" s="664"/>
      <c r="G61" s="664"/>
      <c r="H61" s="664"/>
      <c r="I61" s="664"/>
      <c r="J61" s="664"/>
      <c r="K61" s="664"/>
      <c r="L61" s="664"/>
      <c r="M61" s="664"/>
      <c r="N61" s="664"/>
      <c r="O61" s="227"/>
    </row>
    <row r="62" spans="1:15" ht="19.5" customHeight="1" hidden="1">
      <c r="A62" s="229"/>
      <c r="B62" s="227"/>
      <c r="C62" s="228"/>
      <c r="D62" s="228"/>
      <c r="E62" s="228"/>
      <c r="F62" s="228"/>
      <c r="G62" s="228"/>
      <c r="H62" s="228"/>
      <c r="I62" s="228"/>
      <c r="J62" s="228"/>
      <c r="K62" s="228"/>
      <c r="L62" s="228"/>
      <c r="M62" s="228"/>
      <c r="N62" s="228"/>
      <c r="O62" s="227"/>
    </row>
    <row r="63" spans="1:15" ht="63" customHeight="1" hidden="1">
      <c r="A63" s="229">
        <f>A59+1</f>
        <v>8</v>
      </c>
      <c r="B63" s="227"/>
      <c r="C63" s="662" t="s">
        <v>285</v>
      </c>
      <c r="D63" s="662"/>
      <c r="E63" s="662"/>
      <c r="F63" s="662"/>
      <c r="G63" s="662"/>
      <c r="H63" s="662"/>
      <c r="I63" s="662"/>
      <c r="J63" s="662"/>
      <c r="K63" s="662"/>
      <c r="L63" s="662"/>
      <c r="M63" s="662"/>
      <c r="N63" s="662"/>
      <c r="O63" s="227"/>
    </row>
    <row r="64" spans="1:15" ht="37.5" customHeight="1" hidden="1">
      <c r="A64" s="460">
        <f>A63</f>
        <v>8</v>
      </c>
      <c r="B64" s="456"/>
      <c r="C64" s="663" t="s">
        <v>286</v>
      </c>
      <c r="D64" s="663"/>
      <c r="E64" s="663"/>
      <c r="F64" s="663"/>
      <c r="G64" s="663"/>
      <c r="H64" s="663"/>
      <c r="I64" s="663"/>
      <c r="J64" s="663"/>
      <c r="K64" s="663"/>
      <c r="L64" s="663"/>
      <c r="M64" s="663"/>
      <c r="N64" s="663"/>
      <c r="O64" s="227"/>
    </row>
    <row r="65" spans="1:15" ht="32.25" customHeight="1" hidden="1">
      <c r="A65" s="461">
        <f>A64</f>
        <v>8</v>
      </c>
      <c r="B65" s="457"/>
      <c r="C65" s="664" t="s">
        <v>287</v>
      </c>
      <c r="D65" s="664"/>
      <c r="E65" s="664"/>
      <c r="F65" s="664"/>
      <c r="G65" s="664"/>
      <c r="H65" s="664"/>
      <c r="I65" s="664"/>
      <c r="J65" s="664"/>
      <c r="K65" s="664"/>
      <c r="L65" s="664"/>
      <c r="M65" s="664"/>
      <c r="N65" s="664"/>
      <c r="O65" s="227"/>
    </row>
    <row r="66" spans="1:15" ht="19.5" customHeight="1" hidden="1">
      <c r="A66" s="449"/>
      <c r="B66" s="245"/>
      <c r="C66" s="151"/>
      <c r="D66" s="151"/>
      <c r="E66" s="151"/>
      <c r="F66" s="151"/>
      <c r="G66" s="151"/>
      <c r="H66" s="151"/>
      <c r="I66" s="151"/>
      <c r="J66" s="151"/>
      <c r="K66" s="151"/>
      <c r="L66" s="151"/>
      <c r="M66" s="151"/>
      <c r="N66" s="245"/>
      <c r="O66" s="245"/>
    </row>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password="EF77" sheet="1" objects="1" scenarios="1"/>
  <mergeCells count="36">
    <mergeCell ref="C64:N64"/>
    <mergeCell ref="C65:N65"/>
    <mergeCell ref="C32:E32"/>
    <mergeCell ref="C33:E33"/>
    <mergeCell ref="F31:F33"/>
    <mergeCell ref="C59:N59"/>
    <mergeCell ref="C60:N60"/>
    <mergeCell ref="C61:N61"/>
    <mergeCell ref="C63:N63"/>
    <mergeCell ref="C53:N53"/>
    <mergeCell ref="C55:N55"/>
    <mergeCell ref="C56:N56"/>
    <mergeCell ref="C57:N57"/>
    <mergeCell ref="C48:N48"/>
    <mergeCell ref="C49:N49"/>
    <mergeCell ref="C51:N51"/>
    <mergeCell ref="C52:N52"/>
    <mergeCell ref="C44:N44"/>
    <mergeCell ref="C45:N45"/>
    <mergeCell ref="C47:N47"/>
    <mergeCell ref="C39:N39"/>
    <mergeCell ref="C40:N40"/>
    <mergeCell ref="C41:N41"/>
    <mergeCell ref="C43:N43"/>
    <mergeCell ref="C35:N35"/>
    <mergeCell ref="C36:N36"/>
    <mergeCell ref="C37:N37"/>
    <mergeCell ref="C31:E31"/>
    <mergeCell ref="C12:N12"/>
    <mergeCell ref="C14:N14"/>
    <mergeCell ref="C16:N16"/>
    <mergeCell ref="C18:N18"/>
    <mergeCell ref="C4:N4"/>
    <mergeCell ref="C6:N6"/>
    <mergeCell ref="C8:N8"/>
    <mergeCell ref="C10:N10"/>
  </mergeCells>
  <printOptions/>
  <pageMargins left="0.7874015748031497" right="0.7874015748031497" top="0.7874015748031497" bottom="0.7874015748031497" header="0.5118110236220472" footer="0.5118110236220472"/>
  <pageSetup horizontalDpi="300" verticalDpi="300" orientation="landscape" paperSize="9" scale="83" r:id="rId1"/>
  <headerFooter alignWithMargins="0">
    <oddFooter>&amp;L&amp;F / &amp;A</oddFooter>
  </headerFooter>
</worksheet>
</file>

<file path=xl/worksheets/sheet3.xml><?xml version="1.0" encoding="utf-8"?>
<worksheet xmlns="http://schemas.openxmlformats.org/spreadsheetml/2006/main" xmlns:r="http://schemas.openxmlformats.org/officeDocument/2006/relationships">
  <sheetPr codeName="Tabelle3"/>
  <dimension ref="A1:Z66"/>
  <sheetViews>
    <sheetView showGridLines="0" showRowColHeaders="0" workbookViewId="0" topLeftCell="A1">
      <selection activeCell="D11" sqref="D11"/>
    </sheetView>
  </sheetViews>
  <sheetFormatPr defaultColWidth="11.421875" defaultRowHeight="15" customHeight="1"/>
  <cols>
    <col min="1" max="1" width="2.7109375" style="146" customWidth="1"/>
    <col min="2" max="2" width="24.7109375" style="146" customWidth="1"/>
    <col min="3" max="5" width="7.7109375" style="146" customWidth="1"/>
    <col min="6" max="6" width="14.7109375" style="146" customWidth="1"/>
    <col min="7" max="7" width="9.7109375" style="146" customWidth="1"/>
    <col min="8" max="8" width="24.7109375" style="146" customWidth="1"/>
    <col min="9" max="11" width="7.7109375" style="146" customWidth="1"/>
    <col min="12" max="12" width="14.7109375" style="146" customWidth="1"/>
    <col min="13" max="22" width="8.7109375" style="146" customWidth="1"/>
    <col min="23" max="16384" width="11.421875" style="146" customWidth="1"/>
  </cols>
  <sheetData>
    <row r="1" spans="11:13" ht="15" customHeight="1">
      <c r="K1" s="16" t="str">
        <f>Info!M7</f>
        <v>Copyright : M. G. Kutay , Ver 13.01</v>
      </c>
      <c r="L1" s="15"/>
      <c r="M1" s="15"/>
    </row>
    <row r="2" spans="1:16" s="15" customFormat="1" ht="13.5" customHeight="1">
      <c r="A2" s="4"/>
      <c r="B2" s="415" t="str">
        <f>IF(Info!H8&gt;2.5,"Project:",IF(Info!H8&gt;1.5,"Projekt :",IF(Info!H8&gt;0.5,"Proje :","")))</f>
        <v>Proje :</v>
      </c>
      <c r="C2" s="668" t="s">
        <v>550</v>
      </c>
      <c r="D2" s="668"/>
      <c r="E2" s="668"/>
      <c r="F2" s="668"/>
      <c r="G2" s="668"/>
      <c r="H2" s="668"/>
      <c r="I2" s="14"/>
      <c r="J2" s="14"/>
      <c r="L2" s="267" t="str">
        <f>Info!B7</f>
        <v>www.guven-kutay.ch</v>
      </c>
      <c r="N2" s="16"/>
      <c r="O2" s="14"/>
      <c r="P2" s="14"/>
    </row>
    <row r="3" spans="7:16" s="15" customFormat="1" ht="13.5" customHeight="1">
      <c r="G3" s="468"/>
      <c r="H3" s="468"/>
      <c r="I3" s="1"/>
      <c r="J3" s="14"/>
      <c r="K3" s="14"/>
      <c r="L3" s="14"/>
      <c r="N3" s="16"/>
      <c r="O3" s="14"/>
      <c r="P3" s="14"/>
    </row>
    <row r="4" spans="7:16" s="15" customFormat="1" ht="13.5" customHeight="1">
      <c r="G4" s="468"/>
      <c r="H4" s="468"/>
      <c r="I4" s="1"/>
      <c r="J4" s="14"/>
      <c r="K4" s="14"/>
      <c r="L4" s="14"/>
      <c r="N4" s="16"/>
      <c r="O4" s="14"/>
      <c r="P4" s="14"/>
    </row>
    <row r="5" spans="7:16" s="15" customFormat="1" ht="13.5" customHeight="1">
      <c r="G5" s="468"/>
      <c r="H5" s="468"/>
      <c r="I5" s="1"/>
      <c r="J5" s="14"/>
      <c r="K5" s="14"/>
      <c r="L5" s="14"/>
      <c r="N5" s="16"/>
      <c r="O5" s="14"/>
      <c r="P5" s="14"/>
    </row>
    <row r="6" spans="7:16" s="15" customFormat="1" ht="13.5" customHeight="1">
      <c r="G6" s="468"/>
      <c r="H6" s="468"/>
      <c r="I6" s="1"/>
      <c r="J6" s="14"/>
      <c r="K6" s="14"/>
      <c r="L6" s="14"/>
      <c r="N6" s="16"/>
      <c r="O6" s="14"/>
      <c r="P6" s="14"/>
    </row>
    <row r="7" spans="7:16" s="15" customFormat="1" ht="13.5" customHeight="1">
      <c r="G7" s="468"/>
      <c r="H7" s="468"/>
      <c r="I7" s="1"/>
      <c r="J7" s="14"/>
      <c r="K7" s="14"/>
      <c r="L7" s="14"/>
      <c r="N7" s="16"/>
      <c r="O7" s="14"/>
      <c r="P7" s="14"/>
    </row>
    <row r="8" spans="7:16" s="15" customFormat="1" ht="13.5" customHeight="1">
      <c r="G8" s="468"/>
      <c r="H8" s="468"/>
      <c r="I8" s="1"/>
      <c r="J8" s="14"/>
      <c r="K8" s="14"/>
      <c r="L8" s="14"/>
      <c r="N8" s="16"/>
      <c r="O8" s="14"/>
      <c r="P8" s="14"/>
    </row>
    <row r="9" spans="1:17" s="15" customFormat="1" ht="13.5" customHeight="1">
      <c r="A9" s="14"/>
      <c r="B9" s="149" t="str">
        <f>IF(Info!H8&gt;2.5,"1. Base items",IF(Info!H8&gt;1.5,"1. Grundgrössen",IF(Info!H8&gt;0.5,"1. Temel değerler","")))</f>
        <v>1. Temel değerler</v>
      </c>
      <c r="C9" s="21" t="str">
        <f>IF(Info!$H$8&gt;2.5,"Field of use",IF(Info!$H$8&gt;1.5,"Einsatzort",IF(Info!$H$8&gt;0.5,"Kullanıldığı yer","")))</f>
        <v>Kullanıldığı yer</v>
      </c>
      <c r="D9" s="21"/>
      <c r="E9" s="668" t="s">
        <v>549</v>
      </c>
      <c r="F9" s="668"/>
      <c r="G9" s="1"/>
      <c r="H9" s="1"/>
      <c r="I9" s="1"/>
      <c r="K9" s="1"/>
      <c r="L9" s="1"/>
      <c r="M9" s="1"/>
      <c r="N9" s="1"/>
      <c r="O9" s="14"/>
      <c r="P9" s="14"/>
      <c r="Q9" s="14"/>
    </row>
    <row r="10" spans="1:17" s="15" customFormat="1" ht="13.5" customHeight="1">
      <c r="A10" s="14"/>
      <c r="G10" s="1"/>
      <c r="H10" s="1"/>
      <c r="I10" s="1"/>
      <c r="J10" s="14"/>
      <c r="K10" s="1"/>
      <c r="L10" s="1"/>
      <c r="M10" s="1"/>
      <c r="N10" s="1"/>
      <c r="O10" s="14"/>
      <c r="P10" s="14"/>
      <c r="Q10" s="14"/>
    </row>
    <row r="11" spans="1:17" s="15" customFormat="1" ht="13.5" customHeight="1">
      <c r="A11" s="14"/>
      <c r="B11" s="394" t="str">
        <f>IF(Info!H8&gt;2.5,"Driving rpm ",IF(Info!H8&gt;1.5,"Eingangsdrehzahl   ",IF(Info!H8&gt;0.5,"Giriş devir sayısı ","")))</f>
        <v>Giriş devir sayısı </v>
      </c>
      <c r="C11" s="200"/>
      <c r="D11" s="189" t="s">
        <v>79</v>
      </c>
      <c r="E11" s="190" t="str">
        <f>IF(Info!H8&gt;2.5,"1/min ",IF(Info!H8&gt;1.5,"1/min",IF(Info!H8&gt;0.5,"1/dak","")))</f>
        <v>1/dak</v>
      </c>
      <c r="F11" s="646">
        <v>40</v>
      </c>
      <c r="G11" s="1"/>
      <c r="H11" s="1"/>
      <c r="I11" s="1"/>
      <c r="J11" s="1"/>
      <c r="K11" s="1"/>
      <c r="L11" s="1"/>
      <c r="M11" s="1"/>
      <c r="N11" s="1"/>
      <c r="O11" s="14"/>
      <c r="P11" s="14"/>
      <c r="Q11" s="14"/>
    </row>
    <row r="12" spans="1:17" s="156" customFormat="1" ht="13.5" customHeight="1">
      <c r="A12" s="12"/>
      <c r="B12" s="154" t="str">
        <f>IF(Info!H8&gt;2.5,"Transmission",IF(Info!H8&gt;1.5,"Übersetzung",IF(Info!H8&gt;0.5,"Toplam çevirme","")))</f>
        <v>Toplam çevirme</v>
      </c>
      <c r="C12" s="180"/>
      <c r="D12" s="195" t="s">
        <v>0</v>
      </c>
      <c r="E12" s="196" t="s">
        <v>77</v>
      </c>
      <c r="F12" s="469">
        <f>F18/F17</f>
        <v>4</v>
      </c>
      <c r="G12" s="1"/>
      <c r="H12" s="1"/>
      <c r="I12" s="1"/>
      <c r="J12" s="1"/>
      <c r="K12" s="1"/>
      <c r="L12" s="1"/>
      <c r="M12" s="1"/>
      <c r="N12" s="1"/>
      <c r="O12" s="155"/>
      <c r="P12" s="155"/>
      <c r="Q12" s="155"/>
    </row>
    <row r="13" spans="1:17" s="15" customFormat="1" ht="13.5" customHeight="1">
      <c r="A13" s="156"/>
      <c r="B13" s="157" t="str">
        <f>IF(Info!H8&gt;2.5,"Output rpm.",IF(Info!H8&gt;1.5,"Abtriebsdrehzahl ",IF(Info!H8&gt;0.5,"Çıkış devir ayısı ","")))</f>
        <v>Çıkış devir ayısı </v>
      </c>
      <c r="C13" s="159"/>
      <c r="D13" s="191" t="s">
        <v>74</v>
      </c>
      <c r="E13" s="192" t="str">
        <f>IF(Info!H8&gt;2.5,"1/min ",IF(Info!H8&gt;1.5,"1/min",IF(Info!H8&gt;0.5,"1/dak","")))</f>
        <v>1/dak</v>
      </c>
      <c r="F13" s="395">
        <f>IF(F17&gt;1,F11/F12,"")</f>
        <v>10</v>
      </c>
      <c r="G13" s="1"/>
      <c r="H13" s="1"/>
      <c r="I13" s="1"/>
      <c r="J13" s="1"/>
      <c r="K13" s="1"/>
      <c r="L13" s="1"/>
      <c r="M13" s="1"/>
      <c r="N13" s="1"/>
      <c r="O13" s="14"/>
      <c r="P13" s="14"/>
      <c r="Q13" s="14"/>
    </row>
    <row r="14" spans="2:24" s="15" customFormat="1" ht="13.5" customHeight="1">
      <c r="B14" s="154" t="str">
        <f>IF(Info!H8&gt;2.5,"Torque of pinion shaft",IF(Info!H8&gt;1.5,"Drehmoment der Ritzelwelle",IF(Info!H8&gt;0.5,"Pinyon milindeki moment","")))</f>
        <v>Pinyon milindeki moment</v>
      </c>
      <c r="C14" s="159"/>
      <c r="D14" s="199" t="s">
        <v>80</v>
      </c>
      <c r="E14" s="196" t="s">
        <v>544</v>
      </c>
      <c r="F14" s="497">
        <v>8495</v>
      </c>
      <c r="G14" s="1"/>
      <c r="H14" s="1"/>
      <c r="I14" s="1"/>
      <c r="J14" s="1"/>
      <c r="K14" s="1"/>
      <c r="L14" s="1"/>
      <c r="M14" s="1"/>
      <c r="N14" s="1"/>
      <c r="O14" s="1"/>
      <c r="R14" s="14"/>
      <c r="S14" s="14"/>
      <c r="T14" s="14"/>
      <c r="U14" s="14"/>
      <c r="V14" s="14"/>
      <c r="W14" s="14"/>
      <c r="X14" s="14"/>
    </row>
    <row r="15" spans="1:24" s="15" customFormat="1" ht="13.5" customHeight="1">
      <c r="A15" s="14"/>
      <c r="B15" s="24" t="str">
        <f>IF(Info!H8&gt;2.5,"Lubricating oil-Viscosity",IF(Info!H8&gt;1.5,"Schmieroel-Viskosität",IF(Info!H8&gt;0.5,"Yağ ve Viskositesi","")))</f>
        <v>Yağ ve Viskositesi</v>
      </c>
      <c r="C15" s="265" t="s">
        <v>58</v>
      </c>
      <c r="D15" s="649">
        <v>40</v>
      </c>
      <c r="E15" s="239" t="s">
        <v>546</v>
      </c>
      <c r="F15" s="396">
        <v>120</v>
      </c>
      <c r="G15" s="1"/>
      <c r="H15" s="1"/>
      <c r="I15" s="1"/>
      <c r="J15" s="1"/>
      <c r="K15" s="1"/>
      <c r="L15" s="1"/>
      <c r="M15" s="1"/>
      <c r="N15" s="1"/>
      <c r="O15" s="1"/>
      <c r="Q15" s="14"/>
      <c r="S15" s="14"/>
      <c r="T15" s="14"/>
      <c r="U15" s="14"/>
      <c r="V15" s="14"/>
      <c r="W15" s="14"/>
      <c r="X15" s="14"/>
    </row>
    <row r="16" spans="1:24" s="15" customFormat="1" ht="13.5" customHeight="1">
      <c r="A16" s="14"/>
      <c r="G16" s="1"/>
      <c r="M16" s="1"/>
      <c r="N16" s="1"/>
      <c r="O16" s="1"/>
      <c r="Q16" s="14"/>
      <c r="S16" s="14"/>
      <c r="T16" s="14"/>
      <c r="U16" s="14"/>
      <c r="V16" s="14"/>
      <c r="W16" s="14"/>
      <c r="X16" s="14"/>
    </row>
    <row r="17" spans="1:21" s="15" customFormat="1" ht="13.5" customHeight="1">
      <c r="A17" s="14"/>
      <c r="B17" s="389" t="str">
        <f>IF(Info!H8&gt;2.5,"Number of teeth",IF(Info!H8&gt;1.5,"Zähnezahl",IF(Info!H8&gt;0.5,"Diş sayısı","")))</f>
        <v>Diş sayısı</v>
      </c>
      <c r="C17" s="390"/>
      <c r="D17" s="189" t="s">
        <v>81</v>
      </c>
      <c r="E17" s="190" t="s">
        <v>75</v>
      </c>
      <c r="F17" s="397">
        <v>12</v>
      </c>
      <c r="G17" s="1"/>
      <c r="H17" s="403" t="str">
        <f>IF(Info!H8&gt;2.5,"Load cycle number",IF(Info!H8&gt;1.5,"Lastspielzahl",IF(Info!H8&gt;0.5,"Yükleme sayısı","")))</f>
        <v>Yükleme sayısı</v>
      </c>
      <c r="I17" s="404"/>
      <c r="J17" s="405" t="s">
        <v>52</v>
      </c>
      <c r="K17" s="406" t="s">
        <v>75</v>
      </c>
      <c r="L17" s="407">
        <v>3000000</v>
      </c>
      <c r="M17" s="1"/>
      <c r="N17" s="1"/>
      <c r="O17" s="1"/>
      <c r="P17" s="14"/>
      <c r="Q17" s="14"/>
      <c r="R17" s="14"/>
      <c r="S17" s="14"/>
      <c r="T17" s="14"/>
      <c r="U17" s="14"/>
    </row>
    <row r="18" spans="1:17" s="156" customFormat="1" ht="13.5" customHeight="1">
      <c r="A18" s="90"/>
      <c r="B18" s="391"/>
      <c r="C18" s="392"/>
      <c r="D18" s="191" t="s">
        <v>82</v>
      </c>
      <c r="E18" s="192" t="s">
        <v>75</v>
      </c>
      <c r="F18" s="398">
        <v>48</v>
      </c>
      <c r="G18" s="1"/>
      <c r="H18" s="142" t="str">
        <f>IF(Info!H8&gt;2.5,"Material",IF(Info!H8&gt;1.5,"Werkstoff",IF(Info!H8&gt;0.5,"Malzeme","")))</f>
        <v>Malzeme</v>
      </c>
      <c r="I18" s="159"/>
      <c r="J18" s="199" t="str">
        <f>D25</f>
        <v>Pinyon</v>
      </c>
      <c r="K18" s="194" t="s">
        <v>75</v>
      </c>
      <c r="L18" s="408" t="s">
        <v>547</v>
      </c>
      <c r="M18" s="1"/>
      <c r="N18" s="1"/>
      <c r="O18" s="1"/>
      <c r="P18" s="155"/>
      <c r="Q18" s="155"/>
    </row>
    <row r="19" spans="1:17" s="156" customFormat="1" ht="13.5" customHeight="1">
      <c r="A19" s="90"/>
      <c r="B19" s="382" t="str">
        <f>IF(Info!H8&gt;2.5,"Module",IF(Info!H8&gt;1.5,"Modul",IF(Info!H8&gt;0.5,"Modül","")))</f>
        <v>Modül</v>
      </c>
      <c r="C19" s="184"/>
      <c r="D19" s="383" t="s">
        <v>53</v>
      </c>
      <c r="E19" s="384" t="s">
        <v>51</v>
      </c>
      <c r="F19" s="398">
        <v>3</v>
      </c>
      <c r="G19" s="1"/>
      <c r="H19" s="182"/>
      <c r="I19" s="159"/>
      <c r="J19" s="199" t="str">
        <f>D26</f>
        <v>Çark</v>
      </c>
      <c r="K19" s="194" t="s">
        <v>75</v>
      </c>
      <c r="L19" s="408" t="s">
        <v>547</v>
      </c>
      <c r="M19" s="1"/>
      <c r="N19" s="1"/>
      <c r="O19" s="1"/>
      <c r="P19" s="155"/>
      <c r="Q19" s="155"/>
    </row>
    <row r="20" spans="1:16" ht="13.5" customHeight="1">
      <c r="A20" s="156"/>
      <c r="B20" s="157" t="str">
        <f>IF(Info!H8&gt;2.5,"Gearing quality",IF(Info!H8&gt;1.5,"Verzahnungsqualität",IF(Info!H8&gt;0.5,"Dişli kalitesi","")))</f>
        <v>Dişli kalitesi</v>
      </c>
      <c r="C20" s="393"/>
      <c r="D20" s="388"/>
      <c r="E20" s="387"/>
      <c r="F20" s="409">
        <v>8</v>
      </c>
      <c r="G20" s="1"/>
      <c r="H20" s="185" t="str">
        <f>IF(Info!H8&gt;2.5,"Young's modulus",IF(Info!H8&gt;1.5,"Elastizitätsmodul",IF(Info!H8&gt;0.5,"Elastiklik modülü","")))</f>
        <v>Elastiklik modülü</v>
      </c>
      <c r="I20" s="23" t="s">
        <v>86</v>
      </c>
      <c r="J20" s="199" t="str">
        <f>J18</f>
        <v>Pinyon</v>
      </c>
      <c r="K20" s="196" t="s">
        <v>48</v>
      </c>
      <c r="L20" s="408">
        <v>210000</v>
      </c>
      <c r="M20" s="1"/>
      <c r="N20" s="1"/>
      <c r="O20" s="1"/>
      <c r="P20" s="246"/>
    </row>
    <row r="21" spans="1:26" s="156" customFormat="1" ht="13.5" customHeight="1">
      <c r="A21" s="160"/>
      <c r="B21" s="162" t="str">
        <f>IF(Info!H8&gt;2.5,"Angle of pressure",IF(Info!H8&gt;1.5,"Eingriffswinkel",IF(Info!H8&gt;0.5,"Kavrama açısı","")))</f>
        <v>Kavrama açısı</v>
      </c>
      <c r="C21" s="186"/>
      <c r="D21" s="385" t="s">
        <v>55</v>
      </c>
      <c r="E21" s="386" t="s">
        <v>76</v>
      </c>
      <c r="F21" s="650">
        <v>20</v>
      </c>
      <c r="G21" s="1"/>
      <c r="H21" s="171"/>
      <c r="I21" s="186"/>
      <c r="J21" s="199" t="str">
        <f>J19</f>
        <v>Çark</v>
      </c>
      <c r="K21" s="196" t="s">
        <v>48</v>
      </c>
      <c r="L21" s="408">
        <v>210000</v>
      </c>
      <c r="M21" s="1"/>
      <c r="N21" s="1"/>
      <c r="O21" s="1"/>
      <c r="P21" s="155"/>
      <c r="Q21" s="1"/>
      <c r="R21" s="1"/>
      <c r="S21" s="1"/>
      <c r="T21" s="1"/>
      <c r="U21" s="1"/>
      <c r="V21" s="1"/>
      <c r="W21" s="1"/>
      <c r="X21" s="1"/>
      <c r="Y21" s="1"/>
      <c r="Z21" s="1"/>
    </row>
    <row r="22" spans="1:26" s="15" customFormat="1" ht="13.5" customHeight="1">
      <c r="A22" s="161"/>
      <c r="B22" s="22" t="str">
        <f>IF(Info!H8&gt;2.5,"Tooth width",IF(Info!H8&gt;1.5,"Zahnbreite",IF(Info!H8&gt;0.5,"Diş genişliği","")))</f>
        <v>Diş genişliği</v>
      </c>
      <c r="C22" s="184"/>
      <c r="D22" s="195" t="s">
        <v>83</v>
      </c>
      <c r="E22" s="196" t="s">
        <v>51</v>
      </c>
      <c r="F22" s="398">
        <v>60</v>
      </c>
      <c r="G22" s="1"/>
      <c r="H22" s="177" t="str">
        <f>IF(Info!H8&gt;2.5,"Poisson's modulus",IF(Info!H8&gt;1.5,"Poissonzahl",IF(Info!H8&gt;0.5,"Poisson sayısı","")))</f>
        <v>Poisson sayısı</v>
      </c>
      <c r="I22" s="21"/>
      <c r="J22" s="199" t="str">
        <f>J20</f>
        <v>Pinyon</v>
      </c>
      <c r="K22" s="194" t="s">
        <v>75</v>
      </c>
      <c r="L22" s="408">
        <v>0.3</v>
      </c>
      <c r="M22" s="1"/>
      <c r="N22" s="1"/>
      <c r="O22" s="1"/>
      <c r="P22" s="4"/>
      <c r="Q22" s="1"/>
      <c r="R22" s="1"/>
      <c r="S22" s="1"/>
      <c r="T22" s="1"/>
      <c r="U22" s="1"/>
      <c r="V22" s="1"/>
      <c r="W22" s="1"/>
      <c r="X22" s="1"/>
      <c r="Y22" s="1"/>
      <c r="Z22" s="1"/>
    </row>
    <row r="23" spans="1:26" s="156" customFormat="1" ht="13.5" customHeight="1">
      <c r="A23" s="90"/>
      <c r="B23" s="162"/>
      <c r="C23" s="183"/>
      <c r="D23" s="191" t="s">
        <v>84</v>
      </c>
      <c r="E23" s="192" t="s">
        <v>51</v>
      </c>
      <c r="F23" s="398">
        <v>60</v>
      </c>
      <c r="G23" s="1"/>
      <c r="H23" s="177"/>
      <c r="I23" s="21"/>
      <c r="J23" s="199" t="str">
        <f>J21</f>
        <v>Çark</v>
      </c>
      <c r="K23" s="194" t="s">
        <v>75</v>
      </c>
      <c r="L23" s="408">
        <v>0.3</v>
      </c>
      <c r="M23" s="1"/>
      <c r="N23" s="1"/>
      <c r="O23" s="1"/>
      <c r="P23" s="4"/>
      <c r="Q23" s="1"/>
      <c r="R23" s="1"/>
      <c r="S23" s="1"/>
      <c r="T23" s="1"/>
      <c r="U23" s="1"/>
      <c r="V23" s="1"/>
      <c r="W23" s="1"/>
      <c r="X23" s="1"/>
      <c r="Y23" s="1"/>
      <c r="Z23" s="1"/>
    </row>
    <row r="24" spans="1:26" ht="13.5" customHeight="1">
      <c r="A24" s="156"/>
      <c r="B24" s="163" t="str">
        <f>IF(Info!H8&gt;2.5,"Helix angle",IF(Info!H8&gt;1.5,"Schrägungswinkel",IF(Info!H8&gt;0.5,"Helis açısı","")))</f>
        <v>Helis açısı</v>
      </c>
      <c r="C24" s="180"/>
      <c r="D24" s="197" t="s">
        <v>8</v>
      </c>
      <c r="E24" s="194" t="s">
        <v>76</v>
      </c>
      <c r="F24" s="398">
        <v>0</v>
      </c>
      <c r="G24" s="1"/>
      <c r="H24" s="26" t="str">
        <f>IF(Info!H8&gt;2.5,"Rooth-strength of teeth",IF(Info!H8&gt;1.5,"Zahnfussfestigkeitswert",IF(Info!H8&gt;0.5,"Diş dibi mukavemeti","")))</f>
        <v>Diş dibi mukavemeti</v>
      </c>
      <c r="I24" s="187" t="s">
        <v>59</v>
      </c>
      <c r="J24" s="199" t="str">
        <f>J20</f>
        <v>Pinyon</v>
      </c>
      <c r="K24" s="196" t="s">
        <v>48</v>
      </c>
      <c r="L24" s="408">
        <v>310</v>
      </c>
      <c r="M24" s="1"/>
      <c r="N24" s="1"/>
      <c r="O24" s="1"/>
      <c r="P24" s="4"/>
      <c r="Q24" s="1"/>
      <c r="R24" s="1"/>
      <c r="S24" s="1"/>
      <c r="T24" s="1"/>
      <c r="U24" s="1"/>
      <c r="V24" s="1"/>
      <c r="W24" s="1"/>
      <c r="X24" s="1"/>
      <c r="Y24" s="1"/>
      <c r="Z24" s="1"/>
    </row>
    <row r="25" spans="1:26" s="156" customFormat="1" ht="13.5" customHeight="1">
      <c r="A25" s="160"/>
      <c r="B25" s="164" t="str">
        <f>IF(Info!H8&gt;2.5,"Direction of spiral",IF(Info!H8&gt;1.5,"Gangrichtung",IF(Info!H8&gt;0.5,"Helis yönü","")))</f>
        <v>Helis yönü</v>
      </c>
      <c r="C25" s="184"/>
      <c r="D25" s="191" t="str">
        <f>IF(Info!H8&gt;2.5,"Pinion",IF(Info!H8&gt;1.5,"Ritzel",IF(Info!H8&gt;0.5,"Pinyon","")))</f>
        <v>Pinyon</v>
      </c>
      <c r="E25" s="192" t="s">
        <v>75</v>
      </c>
      <c r="F25" s="398" t="s">
        <v>548</v>
      </c>
      <c r="G25" s="1"/>
      <c r="H25" s="188"/>
      <c r="I25" s="186"/>
      <c r="J25" s="199" t="str">
        <f>J21</f>
        <v>Çark</v>
      </c>
      <c r="K25" s="196" t="s">
        <v>48</v>
      </c>
      <c r="L25" s="408">
        <v>310</v>
      </c>
      <c r="M25" s="1"/>
      <c r="N25" s="1"/>
      <c r="O25" s="1"/>
      <c r="P25" s="4"/>
      <c r="Q25" s="1"/>
      <c r="R25" s="1"/>
      <c r="S25" s="1"/>
      <c r="T25" s="1"/>
      <c r="U25" s="1"/>
      <c r="V25" s="1"/>
      <c r="W25" s="1"/>
      <c r="X25" s="1"/>
      <c r="Y25" s="1"/>
      <c r="Z25" s="1"/>
    </row>
    <row r="26" spans="1:26" s="156" customFormat="1" ht="13.5" customHeight="1">
      <c r="A26" s="161"/>
      <c r="B26" s="165"/>
      <c r="C26" s="183"/>
      <c r="D26" s="191" t="str">
        <f>IF(Info!H8&gt;2.5,"Wheel",IF(Info!H8&gt;1.5,"Rad",IF(Info!H8&gt;0.5,"Çark","")))</f>
        <v>Çark</v>
      </c>
      <c r="E26" s="192" t="s">
        <v>75</v>
      </c>
      <c r="F26" s="398" t="s">
        <v>548</v>
      </c>
      <c r="G26" s="1"/>
      <c r="H26" s="26" t="str">
        <f>IF(Info!H8&gt;2.5,"Tooth flanks strength",IF(Info!H8&gt;1.5,"Zahnflankenfestigkeitswert",IF(Info!H8&gt;0.5,"Diş yanak mukavemeti","")))</f>
        <v>Diş yanak mukavemeti</v>
      </c>
      <c r="I26" s="187" t="s">
        <v>60</v>
      </c>
      <c r="J26" s="199" t="str">
        <f>J24</f>
        <v>Pinyon</v>
      </c>
      <c r="K26" s="196" t="s">
        <v>48</v>
      </c>
      <c r="L26" s="408">
        <v>1100</v>
      </c>
      <c r="M26" s="1"/>
      <c r="N26" s="1"/>
      <c r="O26" s="1"/>
      <c r="P26" s="4"/>
      <c r="Q26" s="1"/>
      <c r="R26" s="1"/>
      <c r="S26" s="1"/>
      <c r="T26" s="1"/>
      <c r="U26" s="1"/>
      <c r="V26" s="1"/>
      <c r="W26" s="1"/>
      <c r="X26" s="1"/>
      <c r="Y26" s="1"/>
      <c r="Z26" s="1"/>
    </row>
    <row r="27" spans="1:26" s="156" customFormat="1" ht="13.5" customHeight="1">
      <c r="A27" s="161"/>
      <c r="B27" s="181" t="str">
        <f>IF(Info!H8&gt;2.5,"Center distance",IF(Info!H8&gt;1.5,"Achsenabstand",IF(Info!H8&gt;0.5,"Eksenler arası mesafe","")))</f>
        <v>Eksenler arası mesafe</v>
      </c>
      <c r="C27" s="180"/>
      <c r="D27" s="193" t="s">
        <v>14</v>
      </c>
      <c r="E27" s="194" t="s">
        <v>51</v>
      </c>
      <c r="F27" s="398">
        <v>91.92</v>
      </c>
      <c r="G27" s="1"/>
      <c r="H27" s="188"/>
      <c r="I27" s="186"/>
      <c r="J27" s="199" t="str">
        <f>J25</f>
        <v>Çark</v>
      </c>
      <c r="K27" s="196" t="s">
        <v>48</v>
      </c>
      <c r="L27" s="408">
        <v>1100</v>
      </c>
      <c r="M27" s="1"/>
      <c r="N27" s="1"/>
      <c r="O27" s="1"/>
      <c r="P27" s="4"/>
      <c r="Q27" s="1"/>
      <c r="R27" s="1"/>
      <c r="S27" s="1"/>
      <c r="T27" s="1"/>
      <c r="U27" s="1"/>
      <c r="V27" s="1"/>
      <c r="W27" s="1"/>
      <c r="X27" s="1"/>
      <c r="Y27" s="1"/>
      <c r="Z27" s="1"/>
    </row>
    <row r="28" spans="1:26" ht="13.5" customHeight="1">
      <c r="A28" s="156"/>
      <c r="B28" s="157" t="str">
        <f>IF(Info!H8&gt;2.5,"Basic profile",IF(Info!H8&gt;1.5,"Bezugsprofil",IF(Info!H8&gt;0.5,"Referans profili ","")))</f>
        <v>Referans profili </v>
      </c>
      <c r="C28" s="180"/>
      <c r="D28" s="191"/>
      <c r="E28" s="192"/>
      <c r="F28" s="471" t="s">
        <v>210</v>
      </c>
      <c r="G28" s="1"/>
      <c r="H28" s="185" t="str">
        <f>IF(Info!H8&gt;2.5,"Hardness",IF(Info!H8&gt;1.5,"Härte",IF(Info!H8&gt;0.5,"Sertlik","")))</f>
        <v>Sertlik</v>
      </c>
      <c r="I28" s="23"/>
      <c r="J28" s="199" t="str">
        <f>J26</f>
        <v>Pinyon</v>
      </c>
      <c r="K28" s="196" t="s">
        <v>87</v>
      </c>
      <c r="L28" s="408">
        <v>525</v>
      </c>
      <c r="M28" s="1"/>
      <c r="N28" s="1"/>
      <c r="O28" s="1"/>
      <c r="P28" s="4"/>
      <c r="Q28" s="1"/>
      <c r="R28" s="1"/>
      <c r="S28" s="1"/>
      <c r="T28" s="1"/>
      <c r="U28" s="1"/>
      <c r="V28" s="1"/>
      <c r="W28" s="1"/>
      <c r="X28" s="1"/>
      <c r="Y28" s="1"/>
      <c r="Z28" s="1"/>
    </row>
    <row r="29" spans="1:26" s="156" customFormat="1" ht="13.5" customHeight="1">
      <c r="A29" s="160"/>
      <c r="B29" s="410" t="str">
        <f>IF(Info!H8&gt;2.5,"Flank roughness",IF(Info!H8&gt;1.5,"Flankenrauigkeit",IF(Info!H8&gt;0.5,"Dişli yanak kalitesi","")))</f>
        <v>Dişli yanak kalitesi</v>
      </c>
      <c r="C29" s="158" t="s">
        <v>85</v>
      </c>
      <c r="D29" s="191" t="str">
        <f>D25</f>
        <v>Pinyon</v>
      </c>
      <c r="E29" s="198" t="s">
        <v>78</v>
      </c>
      <c r="F29" s="398">
        <v>6.3</v>
      </c>
      <c r="G29" s="1"/>
      <c r="H29" s="171"/>
      <c r="I29" s="186"/>
      <c r="J29" s="199" t="str">
        <f>J27</f>
        <v>Çark</v>
      </c>
      <c r="K29" s="196" t="s">
        <v>87</v>
      </c>
      <c r="L29" s="408">
        <v>525</v>
      </c>
      <c r="M29" s="1"/>
      <c r="N29" s="1"/>
      <c r="O29" s="1"/>
      <c r="P29" s="4"/>
      <c r="Q29" s="1"/>
      <c r="R29" s="1"/>
      <c r="S29" s="1"/>
      <c r="T29" s="1"/>
      <c r="U29" s="1"/>
      <c r="V29" s="1"/>
      <c r="W29" s="1"/>
      <c r="X29" s="1"/>
      <c r="Y29" s="1"/>
      <c r="Z29" s="1"/>
    </row>
    <row r="30" spans="1:26" s="156" customFormat="1" ht="13.5" customHeight="1">
      <c r="A30" s="161"/>
      <c r="B30" s="411"/>
      <c r="C30" s="399"/>
      <c r="D30" s="400" t="str">
        <f>D26</f>
        <v>Çark</v>
      </c>
      <c r="E30" s="401" t="s">
        <v>78</v>
      </c>
      <c r="F30" s="402">
        <v>6.3</v>
      </c>
      <c r="G30" s="1"/>
      <c r="H30" s="185" t="str">
        <f>IF(Info!H8&gt;2.5,"Required safety factor",IF(Info!H8&gt;1.5,"Erf. Sicherheitsfaktor",IF(Info!H8&gt;0.5,"Gerekli Emniyet faktörü","")))</f>
        <v>Gerekli Emniyet faktörü</v>
      </c>
      <c r="I30" s="23"/>
      <c r="J30" s="237" t="str">
        <f>6!F6</f>
        <v>SFger</v>
      </c>
      <c r="K30" s="194" t="s">
        <v>75</v>
      </c>
      <c r="L30" s="495">
        <f>6!G6</f>
        <v>1.4</v>
      </c>
      <c r="M30" s="1"/>
      <c r="N30" s="1"/>
      <c r="O30" s="1"/>
      <c r="P30" s="4"/>
      <c r="Q30" s="1"/>
      <c r="R30" s="1"/>
      <c r="S30" s="1"/>
      <c r="T30" s="1"/>
      <c r="U30" s="1"/>
      <c r="V30" s="1"/>
      <c r="W30" s="1"/>
      <c r="X30" s="1"/>
      <c r="Y30" s="1"/>
      <c r="Z30" s="1"/>
    </row>
    <row r="31" spans="1:26" s="156" customFormat="1" ht="13.5" customHeight="1">
      <c r="A31" s="161"/>
      <c r="B31" s="149" t="str">
        <f>IF(Info!H8&gt;2.5,"The pinion is designated with index 1 and the wheel is designated with index 2.",IF(Info!H8&gt;1.5,"Das Ritzel ist mit Index 1 und das Rad mit Index 2 bezeichnet.",IF(Info!H8&gt;0.5,"İndeks 1 li sembol pinyona, indeks 2 li sembol dişli çarka aittir.","")))</f>
        <v>İndeks 1 li sembol pinyona, indeks 2 li sembol dişli çarka aittir.</v>
      </c>
      <c r="C31" s="146"/>
      <c r="D31" s="146"/>
      <c r="E31" s="146"/>
      <c r="F31" s="246"/>
      <c r="G31" s="1"/>
      <c r="H31" s="178"/>
      <c r="I31" s="89"/>
      <c r="J31" s="224" t="str">
        <f>6!F7</f>
        <v>SHger</v>
      </c>
      <c r="K31" s="238" t="s">
        <v>75</v>
      </c>
      <c r="L31" s="496">
        <f>6!G7</f>
        <v>0.8</v>
      </c>
      <c r="M31" s="1"/>
      <c r="N31" s="1"/>
      <c r="O31" s="1"/>
      <c r="Q31" s="1"/>
      <c r="R31" s="1"/>
      <c r="S31" s="1"/>
      <c r="T31" s="1"/>
      <c r="U31" s="1"/>
      <c r="V31" s="1"/>
      <c r="W31" s="1"/>
      <c r="X31" s="1"/>
      <c r="Y31" s="1"/>
      <c r="Z31" s="1"/>
    </row>
    <row r="32" spans="1:26" s="156" customFormat="1" ht="13.5" customHeight="1">
      <c r="A32" s="161"/>
      <c r="B32" s="156" t="str">
        <f>IF(Info!H8&gt;2.5,"Remarks :",IF(Info!H8&gt;1.5,"Bemerkung :","Düşünceler :"))</f>
        <v>Düşünceler :</v>
      </c>
      <c r="G32" s="1"/>
      <c r="H32" s="1"/>
      <c r="I32" s="1"/>
      <c r="J32" s="260"/>
      <c r="M32" s="155"/>
      <c r="Q32" s="1"/>
      <c r="R32" s="1"/>
      <c r="S32" s="1"/>
      <c r="T32" s="1"/>
      <c r="U32" s="1"/>
      <c r="V32" s="1"/>
      <c r="W32" s="1"/>
      <c r="X32" s="1"/>
      <c r="Y32" s="1"/>
      <c r="Z32" s="1"/>
    </row>
    <row r="33" spans="1:26" s="156" customFormat="1" ht="13.5" customHeight="1">
      <c r="A33" s="161"/>
      <c r="B33" s="657"/>
      <c r="C33" s="657"/>
      <c r="D33" s="657"/>
      <c r="E33" s="657"/>
      <c r="F33" s="657"/>
      <c r="G33" s="1"/>
      <c r="H33" s="485" t="str">
        <f>IF(Info!H8&gt;2.5,"1 - Cast iron (GG, GGG)",IF(Info!H8&gt;1.5,"1 - Gusseisen (GG, GGG)",IF(Info!H8&gt;0.5,"1 - Demir döküm (GG, GGG)","")))</f>
        <v>1 - Demir döküm (GG, GGG)</v>
      </c>
      <c r="I33" s="1"/>
      <c r="J33" s="146"/>
      <c r="K33" s="1"/>
      <c r="L33" s="470">
        <v>3</v>
      </c>
      <c r="O33" s="146"/>
      <c r="Q33" s="1"/>
      <c r="R33" s="1"/>
      <c r="S33" s="1"/>
      <c r="T33" s="1"/>
      <c r="U33" s="1"/>
      <c r="V33" s="1"/>
      <c r="W33" s="1"/>
      <c r="X33" s="1"/>
      <c r="Y33" s="1"/>
      <c r="Z33" s="1"/>
    </row>
    <row r="34" spans="1:26" ht="13.5" customHeight="1">
      <c r="A34" s="156"/>
      <c r="B34" s="657"/>
      <c r="C34" s="657"/>
      <c r="D34" s="657"/>
      <c r="E34" s="657"/>
      <c r="F34" s="657"/>
      <c r="G34" s="1"/>
      <c r="H34" s="485" t="str">
        <f>IF(Info!H8&gt;2.5,"2 - All iron, (Rm&lt;800 N/mm2, St, GS)",IF(Info!H8&gt;1.5,"2 - Alle Stähle, (Rm&lt;800 N/mm2, St, GS)",IF(Info!H8&gt;0.5,"2 - Bütün çelikler, (Rm&lt;800 N/mm2, St, GS)","")))</f>
        <v>2 - Bütün çelikler, (Rm&lt;800 N/mm2, St, GS)</v>
      </c>
      <c r="I34" s="1"/>
      <c r="J34" s="156"/>
      <c r="K34" s="1"/>
      <c r="L34" s="667" t="str">
        <f>IF(Info!H8&gt;2.5,"Please type the material number (1,2 or 3) and press enter.",IF(Info!H8&gt;1.5,"Hier geben Sie die entsprechende Nummer 1,2 oder 3 ein.",IF(Info!H8&gt;0.5,"Buraya yanda verilen numarayı veriniz 1,2 veya 3","")))</f>
        <v>Buraya yanda verilen numarayı veriniz 1,2 veya 3</v>
      </c>
      <c r="M34" s="667"/>
      <c r="N34" s="1"/>
      <c r="O34" s="156"/>
      <c r="Q34" s="1"/>
      <c r="R34" s="1"/>
      <c r="S34" s="1"/>
      <c r="T34" s="1"/>
      <c r="U34" s="1"/>
      <c r="V34" s="1"/>
      <c r="W34" s="1"/>
      <c r="X34" s="1"/>
      <c r="Y34" s="1"/>
      <c r="Z34" s="1"/>
    </row>
    <row r="35" spans="1:26" s="156" customFormat="1" ht="13.5" customHeight="1">
      <c r="A35" s="160"/>
      <c r="B35" s="657"/>
      <c r="C35" s="657"/>
      <c r="D35" s="657"/>
      <c r="E35" s="657"/>
      <c r="F35" s="657"/>
      <c r="G35" s="1"/>
      <c r="H35" s="149" t="str">
        <f>IF(Info!H8&gt;2.5,"3 - All hardness iron, (Rm&gt;800 N/mm2)",IF(Info!H8&gt;1.5,"3 - Alle gehärtete Stähle, (Rm&gt;800 N/mm2)",IF(Info!H8&gt;0.5,"3 - Bütün sertleştirilmiş çelikler, (Rm&gt;800 N/mm2)","")))</f>
        <v>3 - Bütün sertleştirilmiş çelikler, (Rm&gt;800 N/mm2)</v>
      </c>
      <c r="I35" s="263"/>
      <c r="J35" s="15"/>
      <c r="K35" s="263"/>
      <c r="L35" s="667"/>
      <c r="M35" s="667"/>
      <c r="N35" s="1"/>
      <c r="O35" s="15"/>
      <c r="Q35" s="1"/>
      <c r="R35" s="1"/>
      <c r="S35" s="1"/>
      <c r="T35" s="1"/>
      <c r="U35" s="1"/>
      <c r="V35" s="1"/>
      <c r="W35" s="1"/>
      <c r="X35" s="1"/>
      <c r="Y35" s="1"/>
      <c r="Z35" s="1"/>
    </row>
    <row r="36" spans="1:26" s="15" customFormat="1" ht="13.5" customHeight="1">
      <c r="A36" s="155"/>
      <c r="G36" s="263"/>
      <c r="H36" s="1"/>
      <c r="I36" s="1"/>
      <c r="J36" s="261"/>
      <c r="K36" s="14"/>
      <c r="L36" s="667"/>
      <c r="M36" s="667"/>
      <c r="N36" s="263"/>
      <c r="Q36" s="1"/>
      <c r="R36" s="1"/>
      <c r="S36" s="1"/>
      <c r="T36" s="1"/>
      <c r="U36" s="1"/>
      <c r="V36" s="1"/>
      <c r="W36" s="1"/>
      <c r="X36" s="1"/>
      <c r="Y36" s="1"/>
      <c r="Z36" s="1"/>
    </row>
    <row r="37" spans="1:26" s="15" customFormat="1" ht="13.5" customHeight="1">
      <c r="A37" s="155"/>
      <c r="G37" s="1"/>
      <c r="Q37" s="1"/>
      <c r="R37" s="1"/>
      <c r="S37" s="1"/>
      <c r="T37" s="1"/>
      <c r="U37" s="1"/>
      <c r="V37" s="1"/>
      <c r="W37" s="1"/>
      <c r="X37" s="1"/>
      <c r="Y37" s="1"/>
      <c r="Z37" s="1"/>
    </row>
    <row r="38" spans="1:26" s="15" customFormat="1" ht="13.5" customHeight="1">
      <c r="A38" s="155"/>
      <c r="G38" s="1"/>
      <c r="H38" s="1"/>
      <c r="I38" s="1"/>
      <c r="J38" s="261"/>
      <c r="K38" s="14"/>
      <c r="L38" s="14"/>
      <c r="Q38" s="1"/>
      <c r="R38" s="1"/>
      <c r="S38" s="1"/>
      <c r="T38" s="1"/>
      <c r="U38" s="1"/>
      <c r="V38" s="1"/>
      <c r="W38" s="1"/>
      <c r="X38" s="1"/>
      <c r="Y38" s="1"/>
      <c r="Z38" s="1"/>
    </row>
    <row r="39" spans="1:26" s="15" customFormat="1" ht="13.5" customHeight="1">
      <c r="A39" s="155"/>
      <c r="G39" s="1"/>
      <c r="H39" s="1"/>
      <c r="I39" s="1"/>
      <c r="J39" s="261"/>
      <c r="K39" s="14"/>
      <c r="L39" s="14"/>
      <c r="Q39" s="1"/>
      <c r="R39" s="1"/>
      <c r="S39" s="1"/>
      <c r="T39" s="1"/>
      <c r="U39" s="1"/>
      <c r="V39" s="1"/>
      <c r="W39" s="1"/>
      <c r="X39" s="1"/>
      <c r="Y39" s="1"/>
      <c r="Z39" s="1"/>
    </row>
    <row r="40" spans="1:26" s="15" customFormat="1" ht="13.5" customHeight="1">
      <c r="A40" s="155"/>
      <c r="G40" s="1"/>
      <c r="H40" s="1"/>
      <c r="I40" s="1"/>
      <c r="J40" s="261"/>
      <c r="K40" s="14"/>
      <c r="L40" s="14"/>
      <c r="Q40" s="1"/>
      <c r="R40" s="1"/>
      <c r="S40" s="1"/>
      <c r="T40" s="1"/>
      <c r="U40" s="1"/>
      <c r="V40" s="1"/>
      <c r="W40" s="1"/>
      <c r="X40" s="1"/>
      <c r="Y40" s="1"/>
      <c r="Z40" s="1"/>
    </row>
    <row r="41" spans="1:26" s="15" customFormat="1" ht="13.5" customHeight="1" hidden="1">
      <c r="A41" s="155"/>
      <c r="G41" s="1"/>
      <c r="H41" s="1"/>
      <c r="I41" s="1"/>
      <c r="J41" s="261"/>
      <c r="K41" s="14"/>
      <c r="L41" s="14"/>
      <c r="Q41" s="1"/>
      <c r="R41" s="1"/>
      <c r="S41" s="1"/>
      <c r="T41" s="1"/>
      <c r="U41" s="1"/>
      <c r="V41" s="1"/>
      <c r="W41" s="1"/>
      <c r="X41" s="1"/>
      <c r="Y41" s="1"/>
      <c r="Z41" s="1"/>
    </row>
    <row r="42" spans="1:26" s="15" customFormat="1" ht="13.5" customHeight="1" hidden="1">
      <c r="A42" s="155"/>
      <c r="G42" s="1"/>
      <c r="H42" s="1"/>
      <c r="I42" s="1"/>
      <c r="J42" s="261"/>
      <c r="K42" s="14"/>
      <c r="L42" s="14"/>
      <c r="M42" s="1"/>
      <c r="Q42" s="1"/>
      <c r="R42" s="1"/>
      <c r="S42" s="1"/>
      <c r="T42" s="1"/>
      <c r="U42" s="1"/>
      <c r="V42" s="1"/>
      <c r="W42" s="1"/>
      <c r="X42" s="1"/>
      <c r="Y42" s="1"/>
      <c r="Z42" s="1"/>
    </row>
    <row r="43" spans="1:26" s="15" customFormat="1" ht="13.5" customHeight="1" hidden="1">
      <c r="A43" s="155"/>
      <c r="G43" s="1"/>
      <c r="H43" s="1"/>
      <c r="I43" s="1"/>
      <c r="J43" s="261"/>
      <c r="K43" s="14"/>
      <c r="L43" s="14"/>
      <c r="M43" s="1"/>
      <c r="N43" s="1"/>
      <c r="O43" s="1"/>
      <c r="Q43" s="1"/>
      <c r="R43" s="1"/>
      <c r="S43" s="1"/>
      <c r="T43" s="1"/>
      <c r="U43" s="1"/>
      <c r="V43" s="1"/>
      <c r="W43" s="1"/>
      <c r="X43" s="1"/>
      <c r="Y43" s="1"/>
      <c r="Z43" s="1"/>
    </row>
    <row r="44" spans="1:17" s="15" customFormat="1" ht="13.5" customHeight="1" hidden="1">
      <c r="A44" s="155"/>
      <c r="G44" s="1"/>
      <c r="H44" s="1"/>
      <c r="I44" s="1"/>
      <c r="J44" s="1"/>
      <c r="K44" s="1"/>
      <c r="L44" s="14"/>
      <c r="M44" s="1"/>
      <c r="N44" s="1"/>
      <c r="O44" s="1"/>
      <c r="P44" s="1"/>
      <c r="Q44" s="1"/>
    </row>
    <row r="45" spans="1:17" s="15" customFormat="1" ht="13.5" customHeight="1" hidden="1">
      <c r="A45" s="155"/>
      <c r="E45" s="14">
        <v>40</v>
      </c>
      <c r="G45" s="1"/>
      <c r="H45" s="1"/>
      <c r="I45" s="1"/>
      <c r="J45" s="1"/>
      <c r="K45" s="1"/>
      <c r="L45" s="14"/>
      <c r="M45" s="1"/>
      <c r="N45" s="1"/>
      <c r="O45" s="1"/>
      <c r="P45" s="1"/>
      <c r="Q45" s="1"/>
    </row>
    <row r="46" spans="1:17" s="15" customFormat="1" ht="13.5" customHeight="1" hidden="1">
      <c r="A46" s="155"/>
      <c r="E46" s="14">
        <v>50</v>
      </c>
      <c r="G46" s="1"/>
      <c r="H46" s="1"/>
      <c r="I46" s="1"/>
      <c r="J46" s="1"/>
      <c r="K46" s="1"/>
      <c r="L46" s="14"/>
      <c r="M46" s="1"/>
      <c r="N46" s="1"/>
      <c r="O46" s="1"/>
      <c r="P46" s="1"/>
      <c r="Q46" s="1"/>
    </row>
    <row r="47" spans="1:17" s="15" customFormat="1" ht="13.5" customHeight="1" hidden="1">
      <c r="A47" s="155"/>
      <c r="C47" s="146"/>
      <c r="D47" s="146"/>
      <c r="E47" s="146"/>
      <c r="F47" s="246"/>
      <c r="G47" s="1"/>
      <c r="H47" s="1"/>
      <c r="I47" s="1"/>
      <c r="J47" s="1"/>
      <c r="K47" s="1"/>
      <c r="L47" s="14"/>
      <c r="M47" s="1"/>
      <c r="N47" s="1"/>
      <c r="O47" s="1"/>
      <c r="P47" s="1"/>
      <c r="Q47" s="1"/>
    </row>
    <row r="48" spans="1:17" s="15" customFormat="1" ht="13.5" customHeight="1" hidden="1">
      <c r="A48" s="155"/>
      <c r="I48" s="246"/>
      <c r="J48" s="246"/>
      <c r="K48" s="246"/>
      <c r="L48" s="14"/>
      <c r="M48" s="1"/>
      <c r="N48" s="1"/>
      <c r="O48" s="1"/>
      <c r="P48" s="1"/>
      <c r="Q48" s="1"/>
    </row>
    <row r="49" spans="1:17" s="15" customFormat="1" ht="13.5" customHeight="1" hidden="1">
      <c r="A49" s="155"/>
      <c r="P49" s="1"/>
      <c r="Q49" s="1"/>
    </row>
    <row r="50" spans="1:17" ht="13.5" customHeight="1" hidden="1">
      <c r="A50" s="246"/>
      <c r="J50" s="246"/>
      <c r="K50" s="246"/>
      <c r="L50" s="246"/>
      <c r="M50" s="1"/>
      <c r="N50" s="1"/>
      <c r="O50" s="1"/>
      <c r="P50" s="1"/>
      <c r="Q50" s="1"/>
    </row>
    <row r="51" spans="1:17" ht="13.5" customHeight="1">
      <c r="A51" s="246"/>
      <c r="L51" s="246"/>
      <c r="M51" s="1"/>
      <c r="N51" s="1"/>
      <c r="O51" s="1"/>
      <c r="P51" s="1"/>
      <c r="Q51" s="1"/>
    </row>
    <row r="52" spans="3:12" ht="13.5" customHeight="1">
      <c r="C52" s="1"/>
      <c r="D52" s="1"/>
      <c r="E52" s="1"/>
      <c r="F52" s="1"/>
      <c r="G52" s="1"/>
      <c r="H52" s="1"/>
      <c r="I52" s="1"/>
      <c r="J52" s="1"/>
      <c r="K52" s="1"/>
      <c r="L52" s="4"/>
    </row>
    <row r="53" spans="3:12" ht="13.5" customHeight="1">
      <c r="C53" s="1"/>
      <c r="D53" s="1"/>
      <c r="E53" s="1"/>
      <c r="F53" s="1"/>
      <c r="G53" s="1"/>
      <c r="H53" s="1"/>
      <c r="I53" s="1"/>
      <c r="J53" s="1"/>
      <c r="K53" s="1"/>
      <c r="L53" s="4"/>
    </row>
    <row r="54" spans="3:12" ht="13.5" customHeight="1">
      <c r="C54" s="1"/>
      <c r="D54" s="1"/>
      <c r="E54" s="1"/>
      <c r="F54" s="1"/>
      <c r="G54" s="1"/>
      <c r="H54" s="1"/>
      <c r="I54" s="1"/>
      <c r="J54" s="1"/>
      <c r="K54" s="1"/>
      <c r="L54" s="4"/>
    </row>
    <row r="55" spans="3:12" ht="13.5" customHeight="1">
      <c r="C55" s="1"/>
      <c r="D55" s="1"/>
      <c r="E55" s="1"/>
      <c r="F55" s="1"/>
      <c r="G55" s="1"/>
      <c r="H55" s="1"/>
      <c r="I55" s="1"/>
      <c r="J55" s="1"/>
      <c r="K55" s="1"/>
      <c r="L55" s="4"/>
    </row>
    <row r="56" spans="3:12" ht="18" customHeight="1">
      <c r="C56" s="1"/>
      <c r="D56" s="1"/>
      <c r="E56" s="1"/>
      <c r="F56" s="1"/>
      <c r="G56" s="1"/>
      <c r="H56" s="1"/>
      <c r="I56" s="1"/>
      <c r="J56" s="1"/>
      <c r="K56" s="1"/>
      <c r="L56" s="4"/>
    </row>
    <row r="57" spans="3:12" ht="18" customHeight="1">
      <c r="C57" s="1"/>
      <c r="D57" s="1"/>
      <c r="E57" s="1"/>
      <c r="F57" s="1"/>
      <c r="G57" s="1"/>
      <c r="H57" s="1"/>
      <c r="I57" s="1"/>
      <c r="J57" s="1"/>
      <c r="K57" s="1"/>
      <c r="L57" s="4"/>
    </row>
    <row r="58" spans="3:12" ht="18" customHeight="1">
      <c r="C58" s="1"/>
      <c r="D58" s="1"/>
      <c r="E58" s="1"/>
      <c r="F58" s="1"/>
      <c r="G58" s="1"/>
      <c r="H58" s="1"/>
      <c r="I58" s="1"/>
      <c r="J58" s="1"/>
      <c r="K58" s="1"/>
      <c r="L58" s="4"/>
    </row>
    <row r="59" spans="4:12" ht="18" customHeight="1">
      <c r="D59" s="4"/>
      <c r="E59" s="1"/>
      <c r="F59" s="1"/>
      <c r="G59" s="1"/>
      <c r="H59" s="1"/>
      <c r="I59" s="1"/>
      <c r="J59" s="1"/>
      <c r="K59" s="1"/>
      <c r="L59" s="4"/>
    </row>
    <row r="60" spans="3:17" ht="15" customHeight="1">
      <c r="C60" s="4"/>
      <c r="D60" s="4"/>
      <c r="E60" s="4"/>
      <c r="F60" s="4"/>
      <c r="G60" s="4"/>
      <c r="H60" s="4"/>
      <c r="I60" s="4"/>
      <c r="J60" s="4"/>
      <c r="K60" s="4"/>
      <c r="L60" s="4"/>
      <c r="M60" s="4"/>
      <c r="N60" s="4"/>
      <c r="O60" s="4"/>
      <c r="P60" s="4"/>
      <c r="Q60" s="4"/>
    </row>
    <row r="63" ht="15" customHeight="1">
      <c r="H63" s="4"/>
    </row>
    <row r="64" spans="9:10" ht="15" customHeight="1">
      <c r="I64" s="4"/>
      <c r="J64" s="4"/>
    </row>
    <row r="65" spans="7:10" ht="15" customHeight="1">
      <c r="G65" s="1"/>
      <c r="H65" s="1"/>
      <c r="I65" s="4"/>
      <c r="J65" s="4"/>
    </row>
    <row r="66" spans="7:10" ht="15" customHeight="1">
      <c r="G66" s="4"/>
      <c r="H66" s="4"/>
      <c r="I66" s="4"/>
      <c r="J66" s="4"/>
    </row>
  </sheetData>
  <sheetProtection password="EF77" sheet="1" objects="1" scenarios="1"/>
  <mergeCells count="4">
    <mergeCell ref="L34:M36"/>
    <mergeCell ref="C2:H2"/>
    <mergeCell ref="E9:F9"/>
    <mergeCell ref="B33:F35"/>
  </mergeCells>
  <dataValidations count="1">
    <dataValidation type="list" allowBlank="1" showInputMessage="1" showErrorMessage="1" sqref="D15">
      <formula1>$E$45:$E$46</formula1>
    </dataValidation>
  </dataValidation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3"/>
  <headerFooter alignWithMargins="0">
    <oddFooter>&amp;L&amp;F / &amp;A</oddFooter>
  </headerFooter>
  <ignoredErrors>
    <ignoredError sqref="F12" unlockedFormula="1"/>
  </ignoredErrors>
  <legacyDrawing r:id="rId2"/>
  <oleObjects>
    <oleObject progId="AutoCAD.Drawing.15" shapeId="545334" r:id="rId1"/>
  </oleObjects>
</worksheet>
</file>

<file path=xl/worksheets/sheet4.xml><?xml version="1.0" encoding="utf-8"?>
<worksheet xmlns="http://schemas.openxmlformats.org/spreadsheetml/2006/main" xmlns:r="http://schemas.openxmlformats.org/officeDocument/2006/relationships">
  <sheetPr codeName="Tabelle4"/>
  <dimension ref="A1:R41"/>
  <sheetViews>
    <sheetView showGridLines="0" showRowColHeaders="0" zoomScale="80" zoomScaleNormal="80" workbookViewId="0" topLeftCell="A1">
      <selection activeCell="F40" sqref="F40"/>
    </sheetView>
  </sheetViews>
  <sheetFormatPr defaultColWidth="11.421875" defaultRowHeight="15" customHeight="1"/>
  <cols>
    <col min="1" max="1" width="2.7109375" style="124" customWidth="1"/>
    <col min="2" max="2" width="25.7109375" style="124" customWidth="1"/>
    <col min="3" max="3" width="8.7109375" style="124" customWidth="1"/>
    <col min="4" max="6" width="12.7109375" style="124" customWidth="1"/>
    <col min="7" max="15" width="9.7109375" style="124" customWidth="1"/>
    <col min="16" max="16" width="2.8515625" style="124" customWidth="1"/>
    <col min="17" max="18" width="12.7109375" style="124" customWidth="1"/>
    <col min="19" max="21" width="10.7109375" style="124" customWidth="1"/>
    <col min="22" max="16384" width="11.421875" style="124" customWidth="1"/>
  </cols>
  <sheetData>
    <row r="1" spans="2:14" ht="15" customHeight="1">
      <c r="B1" s="93" t="str">
        <f>1!B2</f>
        <v>Proje :</v>
      </c>
      <c r="C1" s="5" t="str">
        <f>1!C2:H2</f>
        <v>Makina</v>
      </c>
      <c r="D1" s="123"/>
      <c r="E1" s="123"/>
      <c r="F1" s="123"/>
      <c r="G1" s="123"/>
      <c r="H1" s="472" t="str">
        <f>Info!B7</f>
        <v>www.guven-kutay.ch</v>
      </c>
      <c r="N1" s="20" t="str">
        <f>Info!M7</f>
        <v>Copyright : M. G. Kutay , Ver 13.01</v>
      </c>
    </row>
    <row r="2" spans="1:18" ht="7.5" customHeight="1">
      <c r="A2" s="121"/>
      <c r="I2" s="19"/>
      <c r="J2" s="19"/>
      <c r="O2" s="95"/>
      <c r="P2" s="95"/>
      <c r="Q2" s="90"/>
      <c r="R2" s="90"/>
    </row>
    <row r="3" spans="1:18" ht="15" customHeight="1">
      <c r="A3" s="121"/>
      <c r="B3" s="489" t="str">
        <f>IF(Info!H8&gt;2.5,"2. Geometrical data of stage",IF(Info!H8&gt;1.5,"2. Geometrische Daten der Stufe ",IF(Info!H8&gt;0.5,"2. Kademenin geometrik ölçüleri ","")))</f>
        <v>2. Kademenin geometrik ölçüleri </v>
      </c>
      <c r="C3"/>
      <c r="D3"/>
      <c r="E3"/>
      <c r="F3"/>
      <c r="G3"/>
      <c r="I3" s="19"/>
      <c r="J3" s="19"/>
      <c r="O3" s="95"/>
      <c r="P3" s="95"/>
      <c r="Q3" s="90"/>
      <c r="R3" s="90"/>
    </row>
    <row r="4" spans="1:18" ht="7.5" customHeight="1">
      <c r="A4" s="121"/>
      <c r="B4" s="489"/>
      <c r="C4"/>
      <c r="D4"/>
      <c r="E4"/>
      <c r="F4"/>
      <c r="G4"/>
      <c r="I4" s="19"/>
      <c r="J4" s="19"/>
      <c r="O4" s="95"/>
      <c r="P4" s="95"/>
      <c r="Q4" s="90"/>
      <c r="R4" s="90"/>
    </row>
    <row r="5" spans="1:18" ht="15" customHeight="1">
      <c r="A5" s="121"/>
      <c r="B5" s="28" t="str">
        <f>1!B9</f>
        <v>1. Temel değerler</v>
      </c>
      <c r="C5" s="15"/>
      <c r="D5" s="231" t="str">
        <f>1!D25</f>
        <v>Pinyon</v>
      </c>
      <c r="E5" s="232" t="str">
        <f>1!D26</f>
        <v>Çark</v>
      </c>
      <c r="F5" s="230"/>
      <c r="I5" s="90"/>
      <c r="J5" s="1"/>
      <c r="K5" s="1"/>
      <c r="M5" s="1"/>
      <c r="N5" s="1"/>
      <c r="O5" s="1"/>
      <c r="P5" s="1"/>
      <c r="Q5" s="1"/>
      <c r="R5" s="1"/>
    </row>
    <row r="6" spans="1:18" ht="15" customHeight="1">
      <c r="A6" s="121"/>
      <c r="B6" s="29" t="str">
        <f>1!B17</f>
        <v>Diş sayısı</v>
      </c>
      <c r="C6" s="30" t="s">
        <v>54</v>
      </c>
      <c r="D6" s="31">
        <f>1!F17</f>
        <v>12</v>
      </c>
      <c r="E6" s="32">
        <f>1!F18</f>
        <v>48</v>
      </c>
      <c r="G6" s="1"/>
      <c r="H6" s="1"/>
      <c r="I6" s="1"/>
      <c r="J6" s="1"/>
      <c r="K6" s="1"/>
      <c r="L6" s="1"/>
      <c r="M6" s="1"/>
      <c r="N6" s="1"/>
      <c r="O6" s="1"/>
      <c r="P6" s="1"/>
      <c r="Q6" s="1"/>
      <c r="R6" s="1"/>
    </row>
    <row r="7" spans="1:18" ht="15" customHeight="1">
      <c r="A7" s="121"/>
      <c r="B7" s="33" t="str">
        <f>1!B19</f>
        <v>Modül</v>
      </c>
      <c r="C7" s="34" t="s">
        <v>4</v>
      </c>
      <c r="D7" s="35">
        <f>1!F19</f>
        <v>3</v>
      </c>
      <c r="E7" s="36"/>
      <c r="G7" s="1"/>
      <c r="H7" s="1"/>
      <c r="I7" s="1"/>
      <c r="J7" s="1"/>
      <c r="K7" s="1"/>
      <c r="L7" s="1"/>
      <c r="M7" s="1"/>
      <c r="N7" s="1"/>
      <c r="O7" s="1"/>
      <c r="P7" s="1"/>
      <c r="Q7" s="1"/>
      <c r="R7" s="1"/>
    </row>
    <row r="8" spans="1:18" ht="15" customHeight="1">
      <c r="A8" s="121"/>
      <c r="B8" s="33" t="str">
        <f>1!B21</f>
        <v>Kavrama açısı</v>
      </c>
      <c r="C8" s="147" t="s">
        <v>55</v>
      </c>
      <c r="D8" s="658">
        <f>1!F21</f>
        <v>20</v>
      </c>
      <c r="E8" s="659"/>
      <c r="G8" s="1"/>
      <c r="H8" s="1"/>
      <c r="I8" s="1"/>
      <c r="J8" s="1"/>
      <c r="K8" s="1"/>
      <c r="L8" s="1"/>
      <c r="M8" s="1"/>
      <c r="N8" s="1"/>
      <c r="O8" s="1"/>
      <c r="P8" s="1"/>
      <c r="Q8" s="1"/>
      <c r="R8" s="1"/>
    </row>
    <row r="9" spans="1:18" ht="15" customHeight="1">
      <c r="A9" s="121"/>
      <c r="B9" s="33" t="str">
        <f>1!B22</f>
        <v>Diş genişliği</v>
      </c>
      <c r="C9" s="34" t="s">
        <v>56</v>
      </c>
      <c r="D9" s="38">
        <f>1!F22</f>
        <v>60</v>
      </c>
      <c r="E9" s="39">
        <f>1!F23</f>
        <v>60</v>
      </c>
      <c r="G9" s="1"/>
      <c r="H9" s="1"/>
      <c r="I9" s="1"/>
      <c r="J9" s="1"/>
      <c r="K9" s="1"/>
      <c r="L9" s="1"/>
      <c r="M9" s="1"/>
      <c r="N9" s="1"/>
      <c r="O9" s="1"/>
      <c r="P9" s="1"/>
      <c r="Q9" s="1"/>
      <c r="R9" s="1"/>
    </row>
    <row r="10" spans="1:18" ht="15" customHeight="1">
      <c r="A10" s="121"/>
      <c r="B10" s="33" t="str">
        <f>1!B24</f>
        <v>Helis açısı</v>
      </c>
      <c r="C10" s="34" t="s">
        <v>5</v>
      </c>
      <c r="D10" s="40">
        <f>1!F24</f>
        <v>0</v>
      </c>
      <c r="E10" s="41"/>
      <c r="G10" s="1"/>
      <c r="H10" s="1"/>
      <c r="I10" s="1"/>
      <c r="J10" s="1"/>
      <c r="K10" s="1"/>
      <c r="L10" s="1"/>
      <c r="M10" s="1"/>
      <c r="N10" s="1"/>
      <c r="O10" s="1"/>
      <c r="P10" s="1"/>
      <c r="Q10" s="1"/>
      <c r="R10" s="1"/>
    </row>
    <row r="11" spans="1:18" ht="15" customHeight="1">
      <c r="A11" s="121"/>
      <c r="B11" s="33" t="str">
        <f>1!B25</f>
        <v>Helis yönü</v>
      </c>
      <c r="C11" s="42" t="s">
        <v>6</v>
      </c>
      <c r="D11" s="43" t="str">
        <f>1!F25</f>
        <v>-</v>
      </c>
      <c r="E11" s="44" t="str">
        <f>1!F26</f>
        <v>-</v>
      </c>
      <c r="G11" s="1"/>
      <c r="H11" s="1"/>
      <c r="I11" s="1"/>
      <c r="J11" s="1"/>
      <c r="K11" s="1"/>
      <c r="L11" s="1"/>
      <c r="M11" s="1"/>
      <c r="N11" s="1"/>
      <c r="O11" s="1"/>
      <c r="P11" s="1"/>
      <c r="Q11" s="1"/>
      <c r="R11" s="1"/>
    </row>
    <row r="12" spans="1:18" ht="15" customHeight="1">
      <c r="A12" s="121"/>
      <c r="B12" s="45" t="str">
        <f>1!B27</f>
        <v>Eksenler arası mesafe</v>
      </c>
      <c r="C12" s="34" t="s">
        <v>7</v>
      </c>
      <c r="D12" s="38">
        <f>1!F27</f>
        <v>91.92</v>
      </c>
      <c r="E12" s="37"/>
      <c r="G12" s="1"/>
      <c r="H12" s="1"/>
      <c r="I12" s="1"/>
      <c r="J12" s="1"/>
      <c r="K12" s="1"/>
      <c r="L12" s="1"/>
      <c r="M12" s="1"/>
      <c r="N12" s="1"/>
      <c r="O12" s="1"/>
      <c r="P12" s="1"/>
      <c r="Q12" s="1"/>
      <c r="R12" s="1"/>
    </row>
    <row r="13" spans="1:18" ht="15" customHeight="1">
      <c r="A13" s="121"/>
      <c r="B13" s="166" t="str">
        <f>IF(Info!H8&gt;2.5,"Center distance tolerance",IF(Info!H8&gt;1.5,"Achsenabstand.Toleranz",IF(Info!H8&gt;0.5,"Eksenler arası toleransı","")))</f>
        <v>Eksenler arası toleransı</v>
      </c>
      <c r="C13" s="226" t="s">
        <v>109</v>
      </c>
      <c r="D13" s="46">
        <f>4!H21</f>
        <v>0.017</v>
      </c>
      <c r="E13" s="37"/>
      <c r="G13" s="1"/>
      <c r="H13" s="1"/>
      <c r="I13" s="1"/>
      <c r="J13" s="1"/>
      <c r="K13" s="1"/>
      <c r="L13" s="1"/>
      <c r="M13" s="1"/>
      <c r="N13" s="1"/>
      <c r="O13" s="1"/>
      <c r="P13" s="1"/>
      <c r="Q13" s="1"/>
      <c r="R13" s="1"/>
    </row>
    <row r="14" spans="1:18" ht="15" customHeight="1">
      <c r="A14" s="121"/>
      <c r="B14" s="47" t="str">
        <f>1!B20</f>
        <v>Dişli kalitesi</v>
      </c>
      <c r="C14" s="27"/>
      <c r="D14" s="48" t="s">
        <v>3</v>
      </c>
      <c r="E14" s="49">
        <f>1!F20</f>
        <v>8</v>
      </c>
      <c r="G14" s="1"/>
      <c r="H14" s="1"/>
      <c r="I14" s="1"/>
      <c r="J14" s="1"/>
      <c r="K14" s="1"/>
      <c r="L14" s="1"/>
      <c r="M14" s="1"/>
      <c r="N14" s="1"/>
      <c r="O14" s="1"/>
      <c r="P14" s="1"/>
      <c r="Q14" s="1"/>
      <c r="R14" s="1"/>
    </row>
    <row r="15" spans="1:18" ht="15" customHeight="1">
      <c r="A15" s="121"/>
      <c r="B15" s="26" t="str">
        <f>1!B29</f>
        <v>Dişli yanak kalitesi</v>
      </c>
      <c r="C15" s="42" t="s">
        <v>61</v>
      </c>
      <c r="D15" s="50">
        <f>1!F29</f>
        <v>6.3</v>
      </c>
      <c r="E15" s="51">
        <f>1!F30</f>
        <v>6.3</v>
      </c>
      <c r="G15" s="1"/>
      <c r="H15" s="1"/>
      <c r="I15" s="1"/>
      <c r="J15" s="1"/>
      <c r="K15" s="1"/>
      <c r="L15" s="1"/>
      <c r="M15" s="1"/>
      <c r="N15" s="1"/>
      <c r="O15" s="1"/>
      <c r="P15" s="1"/>
      <c r="Q15" s="1"/>
      <c r="R15" s="1"/>
    </row>
    <row r="16" spans="1:18" ht="15" customHeight="1">
      <c r="A16" s="121"/>
      <c r="B16" s="52" t="str">
        <f>1!H17</f>
        <v>Yükleme sayısı</v>
      </c>
      <c r="C16" s="53" t="s">
        <v>52</v>
      </c>
      <c r="D16" s="54">
        <f>1!L17</f>
        <v>3000000</v>
      </c>
      <c r="E16" s="55"/>
      <c r="G16" s="1"/>
      <c r="H16" s="1"/>
      <c r="I16" s="1"/>
      <c r="J16" s="1"/>
      <c r="K16" s="1"/>
      <c r="L16" s="1"/>
      <c r="M16" s="1"/>
      <c r="N16" s="1"/>
      <c r="O16" s="1"/>
      <c r="P16" s="1"/>
      <c r="Q16" s="1"/>
      <c r="R16" s="1"/>
    </row>
    <row r="17" spans="1:18" ht="15" customHeight="1">
      <c r="A17" s="121"/>
      <c r="B17" s="56" t="str">
        <f>IF(Info!H8&gt;2.5,"2. Geometry",IF(Info!H8&gt;1.5,"2. Geometrie",IF(Info!H8&gt;0.5,"2. Geometri","")))</f>
        <v>2. Geometri</v>
      </c>
      <c r="C17" s="15"/>
      <c r="D17" s="1"/>
      <c r="E17" s="1"/>
      <c r="G17" s="1"/>
      <c r="H17" s="1"/>
      <c r="I17" s="1"/>
      <c r="J17" s="1"/>
      <c r="K17" s="1"/>
      <c r="L17" s="1"/>
      <c r="M17" s="1"/>
      <c r="N17" s="1"/>
      <c r="O17" s="1"/>
      <c r="P17" s="1"/>
      <c r="Q17" s="1"/>
      <c r="R17" s="1"/>
    </row>
    <row r="18" spans="1:18" ht="15" customHeight="1">
      <c r="A18" s="121"/>
      <c r="B18" s="29" t="str">
        <f>IF(Info!H8&gt;2.5,"Transverse module",IF(Info!H8&gt;1.5,"Stirnmodul",IF(Info!H8&gt;0.5,"Alın modülü","")))</f>
        <v>Alın modülü</v>
      </c>
      <c r="C18" s="221" t="s">
        <v>108</v>
      </c>
      <c r="D18" s="233">
        <f>D7/COS(PI()*D10/180)</f>
        <v>3</v>
      </c>
      <c r="E18" s="57"/>
      <c r="F18" s="201"/>
      <c r="G18" s="1"/>
      <c r="H18" s="1"/>
      <c r="I18" s="1"/>
      <c r="J18" s="1"/>
      <c r="K18" s="1"/>
      <c r="L18" s="1"/>
      <c r="M18" s="1"/>
      <c r="N18" s="1"/>
      <c r="O18" s="1"/>
      <c r="P18" s="1"/>
      <c r="Q18" s="1"/>
      <c r="R18" s="1"/>
    </row>
    <row r="19" spans="1:18" ht="15" customHeight="1">
      <c r="A19" s="121"/>
      <c r="B19" s="33" t="str">
        <f>IF(Info!H8&gt;2.5,"Real pressure angle",IF(Info!H8&gt;1.5,"Stirneingriffswinkel",IF(Info!H8&gt;0.5,"Alın kavrama açısı","")))</f>
        <v>Alın kavrama açısı</v>
      </c>
      <c r="C19" s="222" t="s">
        <v>107</v>
      </c>
      <c r="D19" s="58">
        <f>ATAN(TAN(PI()*D8/180)/COS(PI()*D10/180))*180/PI()</f>
        <v>20</v>
      </c>
      <c r="E19" s="59"/>
      <c r="F19" s="201"/>
      <c r="G19" s="1"/>
      <c r="H19" s="1"/>
      <c r="I19" s="1"/>
      <c r="J19" s="1"/>
      <c r="K19" s="1"/>
      <c r="L19" s="1"/>
      <c r="M19" s="1"/>
      <c r="N19" s="1"/>
      <c r="O19" s="1"/>
      <c r="P19" s="1"/>
      <c r="Q19" s="1"/>
      <c r="R19" s="1"/>
    </row>
    <row r="20" spans="1:18" ht="15" customHeight="1">
      <c r="A20" s="121"/>
      <c r="B20" s="33" t="str">
        <f>IF(Info!H8&gt;2.5,"Zero center distance",IF(Info!H8&gt;1.5,"Null-Achsenabstand",IF(Info!H8&gt;0.5,"Kaydırmasız eksenler arası","")))</f>
        <v>Kaydırmasız eksenler arası</v>
      </c>
      <c r="C20" s="223" t="s">
        <v>106</v>
      </c>
      <c r="D20" s="65">
        <f>D18*(D6+E6)/2</f>
        <v>90</v>
      </c>
      <c r="E20" s="59"/>
      <c r="F20" s="201"/>
      <c r="G20" s="1"/>
      <c r="H20" s="1"/>
      <c r="I20" s="1"/>
      <c r="J20" s="1"/>
      <c r="K20" s="1"/>
      <c r="L20" s="1"/>
      <c r="M20" s="1"/>
      <c r="N20" s="1"/>
      <c r="O20" s="1"/>
      <c r="P20" s="1"/>
      <c r="Q20" s="1"/>
      <c r="R20" s="1"/>
    </row>
    <row r="21" spans="1:18" ht="15" customHeight="1">
      <c r="A21" s="121"/>
      <c r="B21" s="33" t="str">
        <f>IF(Info!H8&gt;2.5,"Pressure angle of operating",IF(Info!H8&gt;1.5,"Betriebseingriffswinkel",IF(Info!H8&gt;0.5,"İşletmede kavrama açısı","")))</f>
        <v>İşletmede kavrama açısı</v>
      </c>
      <c r="C21" s="222" t="s">
        <v>105</v>
      </c>
      <c r="D21" s="58">
        <f>ACOS(D20*COS(PI()*D19/180)/D12)*180/PI()</f>
        <v>23.064475598987084</v>
      </c>
      <c r="E21" s="59"/>
      <c r="F21" s="201"/>
      <c r="G21" s="1"/>
      <c r="H21" s="1"/>
      <c r="I21" s="1"/>
      <c r="J21" s="1"/>
      <c r="K21" s="1"/>
      <c r="L21" s="1"/>
      <c r="M21" s="1"/>
      <c r="N21" s="1"/>
      <c r="O21" s="1"/>
      <c r="P21" s="1"/>
      <c r="Q21" s="1"/>
      <c r="R21" s="1"/>
    </row>
    <row r="22" spans="1:18" ht="15" customHeight="1">
      <c r="A22" s="121"/>
      <c r="B22" s="47" t="str">
        <f>IF(Info!H8&gt;2.5,"Involute function",IF(Info!H8&gt;1.5,"Evolventenfunkt.at",IF(Info!H8&gt;0.5,"Evolvent fonksiyonu","")))</f>
        <v>Evolvent fonksiyonu</v>
      </c>
      <c r="C22" s="217" t="s">
        <v>104</v>
      </c>
      <c r="D22" s="61">
        <f>TAN(PI()*D19/180)-D19*PI()/180</f>
        <v>0.014904383867336446</v>
      </c>
      <c r="E22" s="62"/>
      <c r="F22" s="201"/>
      <c r="G22" s="1"/>
      <c r="H22" s="1"/>
      <c r="I22" s="1"/>
      <c r="J22" s="1"/>
      <c r="K22" s="1"/>
      <c r="L22" s="1"/>
      <c r="M22" s="1"/>
      <c r="N22" s="1"/>
      <c r="O22" s="1"/>
      <c r="P22" s="1"/>
      <c r="Q22" s="1"/>
      <c r="R22" s="1"/>
    </row>
    <row r="23" spans="1:18" ht="15" customHeight="1">
      <c r="A23" s="121"/>
      <c r="B23" s="47" t="str">
        <f>B22</f>
        <v>Evolvent fonksiyonu</v>
      </c>
      <c r="C23" s="218" t="s">
        <v>103</v>
      </c>
      <c r="D23" s="61">
        <f>TAN(PI()*D21/180)-D21*PI()/180</f>
        <v>0.023252480841169876</v>
      </c>
      <c r="E23" s="62"/>
      <c r="F23" s="201"/>
      <c r="G23" s="1"/>
      <c r="H23" s="1"/>
      <c r="I23" s="1"/>
      <c r="J23" s="1"/>
      <c r="K23" s="1"/>
      <c r="L23" s="1"/>
      <c r="M23" s="1"/>
      <c r="N23" s="1"/>
      <c r="O23" s="1"/>
      <c r="P23" s="1"/>
      <c r="Q23" s="1"/>
      <c r="R23" s="1"/>
    </row>
    <row r="24" spans="1:18" ht="15" customHeight="1">
      <c r="A24" s="121"/>
      <c r="B24" s="47" t="str">
        <f>IF(Info!H8&gt;2.5,"Sum addendum modification",IF(Info!H8&gt;1.5,"Profilverschiebungssumme",IF(Info!H8&gt;0.5,"Toplam profil kaydırması","")))</f>
        <v>Toplam profil kaydırması</v>
      </c>
      <c r="C24" s="217" t="s">
        <v>102</v>
      </c>
      <c r="D24" s="61">
        <f>(D6+E6)*(D23-D22)/(2*TAN(PI()*D8/180))</f>
        <v>0.6880862379307444</v>
      </c>
      <c r="E24" s="62"/>
      <c r="F24" s="201"/>
      <c r="G24" s="1"/>
      <c r="H24" s="1"/>
      <c r="I24" s="1"/>
      <c r="J24" s="1"/>
      <c r="K24" s="1"/>
      <c r="L24" s="1"/>
      <c r="M24" s="1"/>
      <c r="N24" s="1"/>
      <c r="O24" s="1"/>
      <c r="P24" s="1"/>
      <c r="Q24" s="1"/>
      <c r="R24" s="1"/>
    </row>
    <row r="25" spans="1:18" ht="15" customHeight="1">
      <c r="A25" s="121"/>
      <c r="B25" s="47" t="str">
        <f>IF(Info!H8&gt;2.5,"Tip cut",IF(Info!H8&gt;1.5,"Kopfkürzung",IF(Info!H8&gt;0.5,"Dış çap düzeltmesi","")))</f>
        <v>Dış çap düzeltmesi</v>
      </c>
      <c r="C25" s="218" t="s">
        <v>101</v>
      </c>
      <c r="D25" s="60">
        <f>D20+D24*D7-D12</f>
        <v>0.144258713792226</v>
      </c>
      <c r="E25" s="62"/>
      <c r="F25" s="201"/>
      <c r="G25" s="1"/>
      <c r="H25" s="1"/>
      <c r="I25" s="1"/>
      <c r="J25" s="1"/>
      <c r="K25" s="1"/>
      <c r="L25" s="1"/>
      <c r="M25" s="1"/>
      <c r="N25" s="1"/>
      <c r="O25" s="1"/>
      <c r="P25" s="1"/>
      <c r="Q25" s="1"/>
      <c r="R25" s="1"/>
    </row>
    <row r="26" spans="1:18" ht="15" customHeight="1">
      <c r="A26" s="121"/>
      <c r="B26" s="47" t="str">
        <f>IF(Info!H8&gt;2.5,"Base helix angle",IF(Info!H8&gt;1.5,"Grundschrägungswinkel",IF(Info!H8&gt;0.5,"Temel helis açısı","")))</f>
        <v>Temel helis açısı</v>
      </c>
      <c r="C26" s="222" t="s">
        <v>100</v>
      </c>
      <c r="D26" s="58">
        <f>180*ASIN(SIN(PI()*D10/180)*COS(PI()*D8/180))/PI()</f>
        <v>0</v>
      </c>
      <c r="E26" s="62"/>
      <c r="F26" s="201"/>
      <c r="G26" s="1"/>
      <c r="H26" s="1"/>
      <c r="I26" s="1"/>
      <c r="J26" s="1"/>
      <c r="K26" s="1"/>
      <c r="L26" s="1"/>
      <c r="M26" s="1"/>
      <c r="N26" s="1"/>
      <c r="O26" s="1"/>
      <c r="P26" s="1"/>
      <c r="Q26" s="1"/>
      <c r="R26" s="1"/>
    </row>
    <row r="27" spans="1:18" ht="15" customHeight="1">
      <c r="A27" s="121"/>
      <c r="B27" s="33" t="str">
        <f>IF(Info!H8&gt;2.5,"Arrangement number of teeth",IF(Info!H8&gt;1.5,"Vergleichszähnezahl",IF(Info!H8&gt;0.5,"Eşdeğer diş sayısı","")))</f>
        <v>Eşdeğer diş sayısı</v>
      </c>
      <c r="C27" s="217" t="s">
        <v>99</v>
      </c>
      <c r="D27" s="63">
        <f>D6/(COS(PI()*D26/180))^2/COS(PI()*D10/180)</f>
        <v>12</v>
      </c>
      <c r="E27" s="64">
        <f>E6/(COS(PI()*D26/180))^2/COS(PI()*D10/180)</f>
        <v>48</v>
      </c>
      <c r="F27" s="201"/>
      <c r="G27" s="1"/>
      <c r="H27" s="1"/>
      <c r="I27" s="1"/>
      <c r="J27" s="1"/>
      <c r="K27" s="1"/>
      <c r="L27" s="1"/>
      <c r="M27" s="1"/>
      <c r="N27" s="1"/>
      <c r="O27" s="1"/>
      <c r="P27" s="1"/>
      <c r="Q27" s="1"/>
      <c r="R27" s="1"/>
    </row>
    <row r="28" spans="1:18" ht="15" customHeight="1">
      <c r="A28" s="121"/>
      <c r="B28" s="225" t="str">
        <f>IF(Info!H8&gt;2.5,"Addendum Modification-Proposal",IF(Info!H8&gt;1.5,"Profilverschi.-Vorschlag",IF(Info!H8&gt;0.5,"Profil kaydırması, teklif","")))</f>
        <v>Profil kaydırması, teklif</v>
      </c>
      <c r="C28" s="226"/>
      <c r="D28" s="126">
        <f>IF(($D$24/2+(0.5-$D$24/2)*LOG10($E$6/$D$6)/(LOG10($D$27*$E$27/100)))*10-INT(($D$24/2+(0.5-$D$24/2)*LOG10($E$6/$D$6)/(LOG10($D$27*$E$27/100)))*10)&gt;0.5,FLOOR(($D$24/2+(0.5-$D$24/2)*LOG10($E$6/$D$6)/(LOG10($D$27*$E$27/100))),0.05),ROUNDDOWN(($D$24/2+(0.5-$D$24/2)*LOG10($E$6/$D$6)/(LOG10($D$27*$E$27/100))),1))</f>
        <v>0.45</v>
      </c>
      <c r="E28" s="76">
        <f>D24-D28</f>
        <v>0.2380862379307444</v>
      </c>
      <c r="F28" s="201"/>
      <c r="G28" s="1"/>
      <c r="H28" s="1"/>
      <c r="I28" s="1"/>
      <c r="J28" s="1"/>
      <c r="K28" s="1"/>
      <c r="L28" s="1"/>
      <c r="M28" s="1"/>
      <c r="N28" s="1"/>
      <c r="O28" s="1"/>
      <c r="P28" s="1"/>
      <c r="Q28" s="1"/>
      <c r="R28" s="1"/>
    </row>
    <row r="29" spans="1:18" ht="15" customHeight="1">
      <c r="A29" s="121"/>
      <c r="B29" s="33" t="str">
        <f>IF(Info!H8&gt;2.5,"Selected A.M-P.  factor",IF(Info!H8&gt;1.5,"Ausgewählte Profilverschi.-fak.",IF(Info!H8&gt;0.5,"Seçilen profil kaydırması","")))</f>
        <v>Seçilen profil kaydırması</v>
      </c>
      <c r="C29" s="217" t="s">
        <v>98</v>
      </c>
      <c r="D29" s="94">
        <v>0.49</v>
      </c>
      <c r="E29" s="125">
        <f>D24-D29</f>
        <v>0.19808623793074442</v>
      </c>
      <c r="F29" s="201"/>
      <c r="G29" s="1"/>
      <c r="H29" s="1"/>
      <c r="I29" s="1"/>
      <c r="J29" s="1"/>
      <c r="K29" s="1"/>
      <c r="L29" s="1"/>
      <c r="M29" s="1"/>
      <c r="N29" s="1"/>
      <c r="O29" s="1"/>
      <c r="P29" s="1"/>
      <c r="Q29" s="1"/>
      <c r="R29" s="1"/>
    </row>
    <row r="30" spans="1:18" ht="15" customHeight="1">
      <c r="A30" s="121"/>
      <c r="B30" s="33" t="str">
        <f>IF(Info!H8&gt;2.5,"Reference diameter",IF(Info!H8&gt;1.5,"Teilkreisdurchmesser",IF(Info!H8&gt;0.5,"Taksimat dairesi","")))</f>
        <v>Taksimat dairesi</v>
      </c>
      <c r="C30" s="218" t="s">
        <v>97</v>
      </c>
      <c r="D30" s="65">
        <f>D6*D18</f>
        <v>36</v>
      </c>
      <c r="E30" s="66">
        <f>E6*D18</f>
        <v>144</v>
      </c>
      <c r="F30" s="201"/>
      <c r="G30" s="1"/>
      <c r="H30" s="1"/>
      <c r="I30" s="1"/>
      <c r="J30" s="1"/>
      <c r="K30" s="1"/>
      <c r="L30" s="1"/>
      <c r="M30" s="1"/>
      <c r="N30" s="1"/>
      <c r="O30" s="1"/>
      <c r="P30" s="1"/>
      <c r="Q30" s="1"/>
      <c r="R30" s="1"/>
    </row>
    <row r="31" spans="1:18" ht="15" customHeight="1">
      <c r="A31" s="121"/>
      <c r="B31" s="33" t="str">
        <f>IF(Info!H8&gt;2.5,"Addendum diameter",IF(Info!H8&gt;1.5,"Kopfkreisdurchmesser",IF(Info!H8&gt;0.5,"Diş üstü çapı","")))</f>
        <v>Diş üstü çapı</v>
      </c>
      <c r="C31" s="218" t="s">
        <v>95</v>
      </c>
      <c r="D31" s="65">
        <f>IF(D29&gt;0,D30+2*D7*(1+D29)-2*D25,D30+2*D7*(1+D29)+2*D25)</f>
        <v>44.651482572415546</v>
      </c>
      <c r="E31" s="66">
        <f>IF(E29&gt;0,E30+2*D7*(1+E29)-2*D25,E30+2*D7*(1+E29)+2*D25)</f>
        <v>150.9</v>
      </c>
      <c r="F31" s="1"/>
      <c r="G31" s="1"/>
      <c r="H31" s="1"/>
      <c r="I31" s="1"/>
      <c r="J31" s="1"/>
      <c r="K31" s="1"/>
      <c r="L31" s="1"/>
      <c r="M31" s="1"/>
      <c r="N31" s="1"/>
      <c r="O31" s="1"/>
      <c r="P31" s="1"/>
      <c r="Q31" s="1"/>
      <c r="R31" s="1"/>
    </row>
    <row r="32" spans="1:18" ht="15" customHeight="1">
      <c r="A32" s="121"/>
      <c r="B32" s="33" t="str">
        <f>IF(Info!H8&gt;2.5,"Number of measuring teeth",IF(Info!H8&gt;1.5,"Messzähnezahl",IF(Info!H8&gt;0.5,"Ölçülecek diş sayısı","")))</f>
        <v>Ölçülecek diş sayısı</v>
      </c>
      <c r="C32" s="217" t="s">
        <v>96</v>
      </c>
      <c r="D32" s="67">
        <f>ROUND(D27*D8/180+1,0)</f>
        <v>2</v>
      </c>
      <c r="E32" s="68">
        <f>ROUND(E27*D8/180+1,0)</f>
        <v>6</v>
      </c>
      <c r="F32" s="201"/>
      <c r="G32" s="1"/>
      <c r="H32" s="1"/>
      <c r="I32" s="1"/>
      <c r="J32" s="1"/>
      <c r="K32" s="1"/>
      <c r="L32" s="1"/>
      <c r="M32" s="1"/>
      <c r="N32" s="1"/>
      <c r="O32" s="1"/>
      <c r="P32" s="1"/>
      <c r="Q32" s="1"/>
      <c r="R32" s="1"/>
    </row>
    <row r="33" spans="1:18" ht="15" customHeight="1">
      <c r="A33" s="121"/>
      <c r="B33" s="33" t="str">
        <f>IF(Info!H8&gt;2.5,"Base tangent length",IF(Info!H8&gt;1.5,"Zahnweitennennmass",IF(Info!H8&gt;0.5,"Kontrol ölçü değeri","")))</f>
        <v>Kontrol ölçü değeri</v>
      </c>
      <c r="C33" s="34" t="s">
        <v>57</v>
      </c>
      <c r="D33" s="65">
        <f>D7*COS(PI()*D8/180)*((D32-0.5)*PI()+D6*D22)+2*D29*D7*SIN(PI()*D8/180)</f>
        <v>14.794330098148317</v>
      </c>
      <c r="E33" s="66">
        <f>D7*COS(PI()*D8/180)*((E32-0.5)*PI()+E6*D22)+2*E29*D7*SIN(PI()*D8/180)</f>
        <v>51.13346325687056</v>
      </c>
      <c r="F33" s="201"/>
      <c r="G33" s="1"/>
      <c r="H33" s="1"/>
      <c r="I33" s="1"/>
      <c r="J33" s="1"/>
      <c r="K33" s="1"/>
      <c r="L33" s="1"/>
      <c r="M33" s="1"/>
      <c r="N33" s="1"/>
      <c r="O33" s="1"/>
      <c r="P33" s="1"/>
      <c r="Q33" s="1"/>
      <c r="R33" s="1"/>
    </row>
    <row r="34" spans="1:18" ht="15" customHeight="1">
      <c r="A34" s="121"/>
      <c r="B34" s="33" t="str">
        <f>IF(Info!H8&gt;2.5,"Base tangent length tolerance",IF(Info!H8&gt;1.5,"Zahnweitenabmass",IF(Info!H8&gt;0.5,"Toleransları","")))</f>
        <v>Toleransları</v>
      </c>
      <c r="C34" s="217" t="s">
        <v>89</v>
      </c>
      <c r="D34" s="69">
        <f>4!H25</f>
        <v>-0.08927079897466131</v>
      </c>
      <c r="E34" s="70">
        <f>4!I25</f>
        <v>-0.15974774553360443</v>
      </c>
      <c r="F34" s="201"/>
      <c r="G34" s="1"/>
      <c r="H34" s="1"/>
      <c r="I34" s="1"/>
      <c r="J34" s="1"/>
      <c r="K34" s="1"/>
      <c r="L34" s="1"/>
      <c r="M34" s="1"/>
      <c r="N34" s="1"/>
      <c r="O34" s="1"/>
      <c r="P34" s="1"/>
      <c r="Q34" s="1"/>
      <c r="R34" s="1"/>
    </row>
    <row r="35" spans="1:18" ht="15" customHeight="1">
      <c r="A35" s="121"/>
      <c r="B35" s="18"/>
      <c r="C35" s="217" t="s">
        <v>90</v>
      </c>
      <c r="D35" s="69">
        <f>4!H26</f>
        <v>-0.13625543001395674</v>
      </c>
      <c r="E35" s="70">
        <f>4!I26</f>
        <v>-0.2349231551964771</v>
      </c>
      <c r="F35" s="201"/>
      <c r="G35" s="1"/>
      <c r="H35" s="1"/>
      <c r="I35" s="1"/>
      <c r="J35" s="1"/>
      <c r="K35" s="1"/>
      <c r="L35" s="1"/>
      <c r="M35" s="1"/>
      <c r="N35" s="1"/>
      <c r="O35" s="1"/>
      <c r="P35" s="1"/>
      <c r="Q35" s="1"/>
      <c r="R35" s="1"/>
    </row>
    <row r="36" spans="1:18" ht="15" customHeight="1">
      <c r="A36" s="121"/>
      <c r="B36" s="71" t="str">
        <f>IF(Info!H8&gt;2.5,"Upper fabrication dimension",IF(Info!H8&gt;1.5,"Oberes Werkstattmass",IF(Info!H8&gt;0.5,"Üst ölçü değeri","")))</f>
        <v>Üst ölçü değeri</v>
      </c>
      <c r="C36" s="217" t="s">
        <v>91</v>
      </c>
      <c r="D36" s="65">
        <f>D33+D34</f>
        <v>14.705059299173655</v>
      </c>
      <c r="E36" s="66">
        <f>E33+E34</f>
        <v>50.973715511336955</v>
      </c>
      <c r="F36" s="201"/>
      <c r="G36" s="1"/>
      <c r="H36" s="1"/>
      <c r="I36" s="1"/>
      <c r="J36" s="1"/>
      <c r="K36" s="1"/>
      <c r="L36" s="1"/>
      <c r="M36" s="1"/>
      <c r="N36" s="1"/>
      <c r="O36" s="1"/>
      <c r="P36" s="1"/>
      <c r="Q36" s="1"/>
      <c r="R36" s="1"/>
    </row>
    <row r="37" spans="1:18" ht="15" customHeight="1">
      <c r="A37" s="121"/>
      <c r="B37" s="71" t="str">
        <f>IF(Info!H8&gt;2.5,"Lower fabrication dimension",IF(Info!H8&gt;1.5,"Unteres Werkstattmass",IF(Info!H8&gt;0.5,"Alt ölçü değeri","")))</f>
        <v>Alt ölçü değeri</v>
      </c>
      <c r="C37" s="217" t="s">
        <v>92</v>
      </c>
      <c r="D37" s="65">
        <f>D33+D35</f>
        <v>14.65807466813436</v>
      </c>
      <c r="E37" s="66">
        <f>E33+E35</f>
        <v>50.89854010167409</v>
      </c>
      <c r="F37" s="201"/>
      <c r="G37" s="1"/>
      <c r="H37" s="1"/>
      <c r="I37" s="1"/>
      <c r="J37" s="1"/>
      <c r="K37" s="1"/>
      <c r="L37" s="1"/>
      <c r="M37" s="1"/>
      <c r="N37" s="1"/>
      <c r="O37" s="1"/>
      <c r="P37" s="1"/>
      <c r="Q37" s="1"/>
      <c r="R37" s="1"/>
    </row>
    <row r="38" spans="1:18" ht="15" customHeight="1">
      <c r="A38" s="121"/>
      <c r="B38" s="33" t="str">
        <f>IF(Info!H8&gt;2.5,"Base circle diameter",IF(Info!H8&gt;1.5,"Grundkreisdurchmesser",IF(Info!H8&gt;0.5,"Temel daire çapı","")))</f>
        <v>Temel daire çapı</v>
      </c>
      <c r="C38" s="218" t="s">
        <v>93</v>
      </c>
      <c r="D38" s="65">
        <f>D30*COS(PI()*D19/180)</f>
        <v>33.828934348292705</v>
      </c>
      <c r="E38" s="66">
        <f>E30*COS(PI()*D19/180)</f>
        <v>135.31573739317082</v>
      </c>
      <c r="F38" s="201"/>
      <c r="G38" s="1"/>
      <c r="H38" s="1"/>
      <c r="I38" s="1"/>
      <c r="J38" s="1"/>
      <c r="K38" s="1"/>
      <c r="L38" s="1"/>
      <c r="M38" s="1"/>
      <c r="N38" s="1"/>
      <c r="O38" s="1"/>
      <c r="P38" s="1"/>
      <c r="Q38" s="1"/>
      <c r="R38" s="1"/>
    </row>
    <row r="39" spans="1:18" ht="15" customHeight="1">
      <c r="A39" s="121"/>
      <c r="B39" s="47" t="str">
        <f>IF(Info!H8&gt;2.5,"Transverse contact ratio",IF(Info!H8&gt;1.5,"Profilüberdeckung",IF(Info!H8&gt;0.5,"Profil kavrama oranı","")))</f>
        <v>Profil kavrama oranı</v>
      </c>
      <c r="C39" s="219" t="s">
        <v>88</v>
      </c>
      <c r="D39" s="63">
        <f>((0.5*((D31^2-D38^2)^(0.5)+(E31^2-E38^2)^(0.5))-D12*SIN(PI()*D21/180))/(PI()*D18*COS(PI()*D19/180)))</f>
        <v>1.3497613006105778</v>
      </c>
      <c r="E39" s="62"/>
      <c r="P39" s="1"/>
      <c r="Q39" s="1"/>
      <c r="R39" s="1"/>
    </row>
    <row r="40" spans="1:18" ht="15" customHeight="1">
      <c r="A40" s="121"/>
      <c r="B40" s="412"/>
      <c r="C40" s="219" t="s">
        <v>133</v>
      </c>
      <c r="D40" s="63">
        <f>((0.5*((D31^2-D38^2)^(0.5)+(E31^2-E38^2)^(0.5))-D12*SIN(PI()*D21/180))/(PI()*D18*COS(PI()*D19/180)))/(COS(D26*PI()/180))^2</f>
        <v>1.3497613006105778</v>
      </c>
      <c r="E40" s="62"/>
      <c r="F40" s="247" t="str">
        <f>1!B32</f>
        <v>Düşünceler :</v>
      </c>
      <c r="G40" s="660"/>
      <c r="H40" s="660"/>
      <c r="I40" s="660"/>
      <c r="J40" s="660"/>
      <c r="K40" s="660"/>
      <c r="L40" s="660"/>
      <c r="M40" s="660"/>
      <c r="N40" s="660"/>
      <c r="O40" s="660"/>
      <c r="P40" s="1"/>
      <c r="Q40" s="1"/>
      <c r="R40" s="1"/>
    </row>
    <row r="41" spans="1:18" ht="15" customHeight="1">
      <c r="A41" s="121"/>
      <c r="B41" s="72" t="str">
        <f>IF(Info!H8&gt;2.5,"Overlap ratio",IF(Info!H8&gt;1.5,"Sprungüberdeckung",IF(Info!H8&gt;0.5,"Helis kavrama oranı","")))</f>
        <v>Helis kavrama oranı</v>
      </c>
      <c r="C41" s="220" t="s">
        <v>94</v>
      </c>
      <c r="D41" s="73">
        <f>E9*SIN(PI()*D10/180)/PI()/D7</f>
        <v>0</v>
      </c>
      <c r="E41" s="74"/>
      <c r="F41" s="240"/>
      <c r="G41" s="660"/>
      <c r="H41" s="660"/>
      <c r="I41" s="660"/>
      <c r="J41" s="660"/>
      <c r="K41" s="660"/>
      <c r="L41" s="660"/>
      <c r="M41" s="660"/>
      <c r="N41" s="660"/>
      <c r="O41" s="660"/>
      <c r="P41" s="1"/>
      <c r="Q41" s="1"/>
      <c r="R41" s="1"/>
    </row>
  </sheetData>
  <sheetProtection password="EF77" sheet="1" objects="1" scenarios="1"/>
  <mergeCells count="2">
    <mergeCell ref="D8:E8"/>
    <mergeCell ref="G40:O41"/>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0" r:id="rId3"/>
  <headerFooter alignWithMargins="0">
    <oddFooter>&amp;L&amp;F / &amp;A</oddFooter>
  </headerFooter>
  <ignoredErrors>
    <ignoredError sqref="E39 D28:E28" evalError="1"/>
  </ignoredErrors>
  <legacyDrawing r:id="rId2"/>
  <oleObjects>
    <oleObject progId="AutoCAD.Drawing.15" shapeId="558132" r:id="rId1"/>
  </oleObjects>
</worksheet>
</file>

<file path=xl/worksheets/sheet5.xml><?xml version="1.0" encoding="utf-8"?>
<worksheet xmlns="http://schemas.openxmlformats.org/spreadsheetml/2006/main" xmlns:r="http://schemas.openxmlformats.org/officeDocument/2006/relationships">
  <sheetPr codeName="Tabelle5"/>
  <dimension ref="A2:AF383"/>
  <sheetViews>
    <sheetView showGridLines="0" showRowColHeaders="0" zoomScale="95" zoomScaleNormal="95" workbookViewId="0" topLeftCell="A1">
      <selection activeCell="M18" sqref="M18:N22"/>
    </sheetView>
  </sheetViews>
  <sheetFormatPr defaultColWidth="11.421875" defaultRowHeight="15" customHeight="1"/>
  <cols>
    <col min="1" max="1" width="1.7109375" style="122" customWidth="1"/>
    <col min="2" max="2" width="30.7109375" style="122" customWidth="1"/>
    <col min="3" max="4" width="7.00390625" style="122" customWidth="1"/>
    <col min="5" max="6" width="8.7109375" style="122" customWidth="1"/>
    <col min="7" max="7" width="2.7109375" style="122" customWidth="1"/>
    <col min="8" max="8" width="25.7109375" style="122" customWidth="1"/>
    <col min="9" max="10" width="7.00390625" style="122" customWidth="1"/>
    <col min="11" max="12" width="8.7109375" style="122" customWidth="1"/>
    <col min="13" max="14" width="12.7109375" style="122" customWidth="1"/>
    <col min="15" max="15" width="2.7109375" style="122" customWidth="1"/>
    <col min="16" max="16" width="2.7109375" style="122" hidden="1" customWidth="1"/>
    <col min="17" max="18" width="2.7109375" style="519" hidden="1" customWidth="1"/>
    <col min="19" max="19" width="6.7109375" style="587" hidden="1" customWidth="1"/>
    <col min="20" max="20" width="11.421875" style="587" hidden="1" customWidth="1"/>
    <col min="21" max="26" width="11.421875" style="519" hidden="1" customWidth="1"/>
    <col min="27" max="28" width="11.421875" style="587" hidden="1" customWidth="1"/>
    <col min="29" max="29" width="16.00390625" style="519" hidden="1" customWidth="1"/>
    <col min="30" max="30" width="16.7109375" style="519" hidden="1" customWidth="1"/>
    <col min="31" max="31" width="11.421875" style="519" hidden="1" customWidth="1"/>
    <col min="32" max="38" width="11.421875" style="122" hidden="1" customWidth="1"/>
    <col min="39" max="40" width="3.7109375" style="122" customWidth="1"/>
    <col min="41" max="16384" width="11.421875" style="122" customWidth="1"/>
  </cols>
  <sheetData>
    <row r="1" ht="7.5" customHeight="1"/>
    <row r="2" spans="1:16" ht="15" customHeight="1">
      <c r="A2" s="121"/>
      <c r="B2" s="93" t="str">
        <f>1!B2</f>
        <v>Proje :</v>
      </c>
      <c r="C2" s="5" t="str">
        <f>1!C2:H2</f>
        <v>Makina</v>
      </c>
      <c r="D2" s="123"/>
      <c r="E2" s="123"/>
      <c r="F2" s="123"/>
      <c r="G2" s="123"/>
      <c r="H2" s="123"/>
      <c r="I2" s="1"/>
      <c r="J2" s="1"/>
      <c r="K2" s="473" t="str">
        <f>Info!B7</f>
        <v>www.guven-kutay.ch</v>
      </c>
      <c r="M2" s="75"/>
      <c r="N2" s="20" t="str">
        <f>Info!M7</f>
        <v>Copyright : M. G. Kutay , Ver 13.01</v>
      </c>
      <c r="O2" s="121"/>
      <c r="P2" s="121"/>
    </row>
    <row r="3" spans="1:16" ht="7.5" customHeight="1">
      <c r="A3" s="121"/>
      <c r="B3" s="281"/>
      <c r="C3" s="282"/>
      <c r="D3" s="282"/>
      <c r="E3" s="282"/>
      <c r="F3" s="282"/>
      <c r="G3" s="282"/>
      <c r="H3" s="282"/>
      <c r="I3" s="282"/>
      <c r="J3" s="282"/>
      <c r="M3" s="75"/>
      <c r="N3" s="75"/>
      <c r="O3" s="121"/>
      <c r="P3" s="121"/>
    </row>
    <row r="4" spans="1:16" ht="15" customHeight="1">
      <c r="A4" s="121"/>
      <c r="B4" s="489" t="str">
        <f>IF(Info!H8&gt;2.5,"3. Calculations of strength",IF(Info!H8&gt;1.5,"3. Festigkeitsberechnungen",IF(Info!H8&gt;0.5,"3. Mukavemet hesapları  ","")))</f>
        <v>3. Mukavemet hesapları  </v>
      </c>
      <c r="C4" s="282"/>
      <c r="D4" s="282"/>
      <c r="E4" s="282"/>
      <c r="F4" s="282"/>
      <c r="G4" s="282"/>
      <c r="H4" s="282"/>
      <c r="I4" s="282"/>
      <c r="J4" s="282"/>
      <c r="M4" s="75"/>
      <c r="N4" s="75"/>
      <c r="O4" s="121"/>
      <c r="P4" s="121"/>
    </row>
    <row r="5" spans="1:16" ht="7.5" customHeight="1">
      <c r="A5" s="121"/>
      <c r="C5" s="282"/>
      <c r="D5" s="282"/>
      <c r="E5" s="282"/>
      <c r="F5" s="282"/>
      <c r="G5" s="282"/>
      <c r="H5" s="282"/>
      <c r="I5" s="282"/>
      <c r="J5" s="282"/>
      <c r="M5" s="75"/>
      <c r="N5" s="75"/>
      <c r="O5" s="121"/>
      <c r="P5" s="121"/>
    </row>
    <row r="6" spans="1:12" ht="15" customHeight="1">
      <c r="A6" s="121"/>
      <c r="B6" s="149" t="str">
        <f>IF(Info!H8&gt;2.5,"A) Foot stress calculation",IF(Info!H8&gt;1.5,"A) Zahnfussbruch-Festigkeitskontrolle",IF(Info!H8&gt;0.5,"A) Diş dibi kırılma mukavemet hesabı","")))</f>
        <v>A) Diş dibi kırılma mukavemet hesabı</v>
      </c>
      <c r="C6" s="738"/>
      <c r="D6" s="738"/>
      <c r="E6" s="86" t="str">
        <f>1!D25</f>
        <v>Pinyon</v>
      </c>
      <c r="F6" s="86" t="str">
        <f>1!D26</f>
        <v>Çark</v>
      </c>
      <c r="H6" s="283" t="str">
        <f>IF(Info!H8&gt;2.5,"B) Pressure of flanks ",IF(Info!H8&gt;1.5,"B) Flankenpressung an den Flanken",IF(Info!H8&gt;0.5,"B) Diş yanağı form mukavemet hesabı","")))</f>
        <v>B) Diş yanağı form mukavemet hesabı</v>
      </c>
      <c r="I6" s="15"/>
      <c r="J6" s="15"/>
      <c r="K6" s="86"/>
      <c r="L6" s="15"/>
    </row>
    <row r="7" spans="1:14" ht="15" customHeight="1">
      <c r="A7" s="121"/>
      <c r="B7" s="127" t="str">
        <f>IF(Info!H8&gt;2.5,"Tangential force",IF(Info!H8&gt;1.5,"Tangentialkraft",IF(Info!H8&gt;0.5,"Teğet Kuvvet","")))</f>
        <v>Teğet Kuvvet</v>
      </c>
      <c r="C7" s="202" t="s">
        <v>49</v>
      </c>
      <c r="D7" s="130" t="s">
        <v>43</v>
      </c>
      <c r="E7" s="138">
        <f>2*1!F14/3!K7*10^3</f>
        <v>471944.44444444444</v>
      </c>
      <c r="F7" s="131">
        <f>E7</f>
        <v>471944.44444444444</v>
      </c>
      <c r="G7" s="1"/>
      <c r="H7" s="127" t="str">
        <f>2!B30</f>
        <v>Taksimat dairesi</v>
      </c>
      <c r="I7" s="284" t="s">
        <v>24</v>
      </c>
      <c r="J7" s="130" t="s">
        <v>51</v>
      </c>
      <c r="K7" s="136">
        <f>2!D30</f>
        <v>36</v>
      </c>
      <c r="L7" s="422" t="s">
        <v>258</v>
      </c>
      <c r="M7" s="417">
        <f>2*N26*TAN(M8)/N28-N30</f>
        <v>0.83597036036291</v>
      </c>
      <c r="N7" s="418">
        <f>2*N27*TAN(N8)/N29-N31</f>
        <v>1.0007202734348892</v>
      </c>
    </row>
    <row r="8" spans="1:14" ht="15" customHeight="1">
      <c r="A8" s="121"/>
      <c r="B8" s="128" t="str">
        <f>IF(Info!H8&gt;2.5,"Tooth base strength",IF(Info!H8&gt;1.5,"Zahnfusfestigkeitswert",IF(Info!H8&gt;0.5,"Diş dibi mukavemeti","")))</f>
        <v>Diş dibi mukavemeti</v>
      </c>
      <c r="C8" s="285" t="s">
        <v>59</v>
      </c>
      <c r="D8" s="286" t="s">
        <v>48</v>
      </c>
      <c r="E8" s="139">
        <f>1!L24</f>
        <v>310</v>
      </c>
      <c r="F8" s="132">
        <f>1!L25</f>
        <v>310</v>
      </c>
      <c r="G8" s="1"/>
      <c r="H8" s="128" t="str">
        <f>2!B9</f>
        <v>Diş genişliği</v>
      </c>
      <c r="I8" s="287" t="s">
        <v>8</v>
      </c>
      <c r="J8" s="167" t="s">
        <v>51</v>
      </c>
      <c r="K8" s="137">
        <f>2!E9</f>
        <v>60</v>
      </c>
      <c r="L8" s="15"/>
      <c r="M8" s="419">
        <f>M7</f>
        <v>0.83597036036291</v>
      </c>
      <c r="N8" s="420">
        <f>N7</f>
        <v>1.0007202734348892</v>
      </c>
    </row>
    <row r="9" spans="1:28" ht="15" customHeight="1">
      <c r="A9" s="121"/>
      <c r="B9" s="128" t="str">
        <f>IF(Info!H8&gt;2.5,"Tooth flanks stress",IF(Info!H8&gt;1.5,"Zahnflankenfestigkeitswert",IF(Info!H8&gt;0.5,"Diş yanak mukavemeti","")))</f>
        <v>Diş yanak mukavemeti</v>
      </c>
      <c r="C9" s="285" t="s">
        <v>60</v>
      </c>
      <c r="D9" s="286" t="s">
        <v>48</v>
      </c>
      <c r="E9" s="139">
        <f>1!L26</f>
        <v>1100</v>
      </c>
      <c r="F9" s="132">
        <f>1!L27</f>
        <v>1100</v>
      </c>
      <c r="G9" s="1"/>
      <c r="H9" s="128" t="str">
        <f>2!B7</f>
        <v>Modül</v>
      </c>
      <c r="I9" s="288" t="s">
        <v>53</v>
      </c>
      <c r="J9" s="176" t="s">
        <v>51</v>
      </c>
      <c r="K9" s="137">
        <f>2!D7</f>
        <v>3</v>
      </c>
      <c r="L9" s="15"/>
      <c r="V9" s="530" t="str">
        <f>IF(MIN(E31:F31)&gt;E32,"Yeterli","Yetersiz")</f>
        <v>Yeterli</v>
      </c>
      <c r="W9" s="531"/>
      <c r="X9" s="531"/>
      <c r="Y9" s="531"/>
      <c r="Z9" s="531"/>
      <c r="AA9" s="541"/>
      <c r="AB9" s="530" t="str">
        <f>IF(MIN(K33:L33)&gt;K34,"Yeterli","Yetersiz")</f>
        <v>Yetersiz</v>
      </c>
    </row>
    <row r="10" spans="1:28" ht="15" customHeight="1">
      <c r="A10" s="121"/>
      <c r="B10" s="13" t="str">
        <f>IF(Info!H8&gt;2.5,"Young's modulus",IF(Info!H8&gt;1.5,"Elastizitätsmodul",IF(Info!H8&gt;0.5,"Elastikiyet modülü","")))</f>
        <v>Elastikiyet modülü</v>
      </c>
      <c r="C10" s="235" t="s">
        <v>137</v>
      </c>
      <c r="D10" s="168" t="s">
        <v>48</v>
      </c>
      <c r="E10" s="206">
        <f>1!L20</f>
        <v>210000</v>
      </c>
      <c r="F10" s="207">
        <f>1!L21</f>
        <v>210000</v>
      </c>
      <c r="G10" s="1"/>
      <c r="H10" s="13" t="str">
        <f>IF(Info!H8&gt;2.5,"Gear ratio",IF(Info!H8&gt;1.5,"Zähnezahlverhältnis",IF(Info!H8&gt;0.5,"Çevirme oranı","")))</f>
        <v>Çevirme oranı</v>
      </c>
      <c r="I10" s="289" t="s">
        <v>0</v>
      </c>
      <c r="J10" s="213" t="s">
        <v>75</v>
      </c>
      <c r="K10" s="135">
        <f>2!E6/2!D6</f>
        <v>4</v>
      </c>
      <c r="L10" s="15"/>
      <c r="M10" s="748" t="str">
        <f>IF(Info!H8&gt;2.5,S24,IF(Info!H8&gt;1.5,S19,S14))</f>
        <v>Bu bir yineleme hesabıdır. Mavi karelerde "#ZAHL! " veya " #DIV0!" görüldüğünde, "#ZAHL! "  veya " #DIV0!" yerine "=Tetanın kare numarasını" (bir üst kare) veriniz. Daha sonra standart çubukta şu emirleri veriniz: </v>
      </c>
      <c r="N10" s="748"/>
      <c r="V10" s="530" t="str">
        <f>IF(MIN(E31:F31)&gt;E32,"zulässig ","  Nicht zulässig!")</f>
        <v>zulässig </v>
      </c>
      <c r="AB10" s="530" t="str">
        <f>IF(MIN(K33:L33)&gt;K34,"zulässig ","  Nicht zulässig!")</f>
        <v>  Nicht zulässig!</v>
      </c>
    </row>
    <row r="11" spans="1:28" ht="15" customHeight="1">
      <c r="A11" s="121"/>
      <c r="B11" s="85" t="str">
        <f>IF(Info!H8&gt;2.5,"Local foot stress",IF(Info!H8&gt;1.5,"Örtliche-Fussspannung",IF(Info!H8&gt;0.5,"Kısmi diş dibi gerilimi","")))</f>
        <v>Kısmi diş dibi gerilimi</v>
      </c>
      <c r="C11" s="290"/>
      <c r="D11" s="90"/>
      <c r="E11" s="15"/>
      <c r="F11" s="15"/>
      <c r="G11" s="1"/>
      <c r="H11" s="28" t="str">
        <f>IF(Info!H8&gt;2.5,"Local Hertz pressure",IF(Info!H8&gt;1.5,"Örtliche Hertz'sche Pressung",IF(Info!H8&gt;0.5,"Yerel Hertz basıncı","")))</f>
        <v>Yerel Hertz basıncı</v>
      </c>
      <c r="I11" s="99"/>
      <c r="J11" s="15"/>
      <c r="K11" s="19"/>
      <c r="L11" s="15"/>
      <c r="M11" s="748"/>
      <c r="N11" s="748"/>
      <c r="V11" s="530" t="str">
        <f>IF(MIN(E31:F31)&gt;E32,"Permissible","Inadmissible! ")</f>
        <v>Permissible</v>
      </c>
      <c r="AB11" s="530" t="str">
        <f>IF(MIN(K33:L33)&gt;K34,"Permissible","Inadmissible! ")</f>
        <v>Inadmissible! </v>
      </c>
    </row>
    <row r="12" spans="1:14" ht="15" customHeight="1">
      <c r="A12" s="121"/>
      <c r="B12" s="127" t="str">
        <f>B11</f>
        <v>Kısmi diş dibi gerilimi</v>
      </c>
      <c r="C12" s="291" t="s">
        <v>138</v>
      </c>
      <c r="D12" s="292" t="s">
        <v>48</v>
      </c>
      <c r="E12" s="140">
        <f>$E$7/2!E9/2!D7*E13*E14*E15*E16</f>
        <v>69.86957276029767</v>
      </c>
      <c r="F12" s="129">
        <f>$E$7/2!E9/2!D7*F13*F14*F15*F16</f>
        <v>68.75006589012989</v>
      </c>
      <c r="G12" s="1"/>
      <c r="H12" s="296" t="str">
        <f>H11</f>
        <v>Yerel Hertz basıncı</v>
      </c>
      <c r="I12" s="294" t="s">
        <v>149</v>
      </c>
      <c r="J12" s="295" t="s">
        <v>48</v>
      </c>
      <c r="K12" s="143">
        <f>K18*K13*K14</f>
        <v>6865.608152873582</v>
      </c>
      <c r="L12" s="14"/>
      <c r="M12" s="748"/>
      <c r="N12" s="748"/>
    </row>
    <row r="13" spans="1:14" ht="15" customHeight="1">
      <c r="A13" s="121"/>
      <c r="B13" s="128" t="str">
        <f>IF(Info!H8&gt;2.5,"Tip factor",IF(Info!H8&gt;1.5,"Kopffaktor",IF(Info!H8&gt;0.5,"Dişüstü faktörü","")))</f>
        <v>Dişüstü faktörü</v>
      </c>
      <c r="C13" s="204" t="s">
        <v>140</v>
      </c>
      <c r="D13" s="212" t="s">
        <v>75</v>
      </c>
      <c r="E13" s="474">
        <f>AD39</f>
        <v>2.4777542657209333</v>
      </c>
      <c r="F13" s="475">
        <f>AD41</f>
        <v>2.168400242950484</v>
      </c>
      <c r="G13" s="1"/>
      <c r="H13" s="179" t="str">
        <f>B15</f>
        <v>Yük payı faktörü</v>
      </c>
      <c r="I13" s="299" t="s">
        <v>151</v>
      </c>
      <c r="J13" s="208" t="s">
        <v>75</v>
      </c>
      <c r="K13" s="478">
        <f>AD297</f>
        <v>0.9399004733462336</v>
      </c>
      <c r="L13" s="14"/>
      <c r="M13" s="748"/>
      <c r="N13" s="748"/>
    </row>
    <row r="14" spans="1:30" ht="15" customHeight="1">
      <c r="A14" s="121"/>
      <c r="B14" s="128" t="str">
        <f>IF(Info!H8&gt;2.5,"Stress correction factor",IF(Info!H8&gt;1.5,"Spannungskorrekturfaktor",IF(Info!H8&gt;0.5,"Çentik faktörü","")))</f>
        <v>Çentik faktörü</v>
      </c>
      <c r="C14" s="204" t="s">
        <v>141</v>
      </c>
      <c r="D14" s="212" t="s">
        <v>75</v>
      </c>
      <c r="E14" s="474">
        <f>Z211</f>
        <v>1.7721552607458395</v>
      </c>
      <c r="F14" s="475">
        <f>AD211</f>
        <v>1.9925332834854779</v>
      </c>
      <c r="G14" s="1"/>
      <c r="H14" s="179" t="str">
        <f>B16</f>
        <v>Helis faktörü </v>
      </c>
      <c r="I14" s="299" t="s">
        <v>153</v>
      </c>
      <c r="J14" s="208" t="s">
        <v>75</v>
      </c>
      <c r="K14" s="478">
        <f>AD307</f>
        <v>1</v>
      </c>
      <c r="L14" s="14"/>
      <c r="M14" s="748"/>
      <c r="N14" s="748"/>
      <c r="S14" s="742" t="s">
        <v>213</v>
      </c>
      <c r="T14" s="742"/>
      <c r="U14" s="742"/>
      <c r="V14" s="742"/>
      <c r="W14" s="742"/>
      <c r="X14" s="742"/>
      <c r="Y14" s="742"/>
      <c r="Z14" s="742"/>
      <c r="AA14" s="742"/>
      <c r="AB14" s="742"/>
      <c r="AC14" s="742"/>
      <c r="AD14" s="742"/>
    </row>
    <row r="15" spans="1:30" ht="15" customHeight="1">
      <c r="A15" s="121"/>
      <c r="B15" s="128" t="str">
        <f>IF(Info!H8&gt;2.5,"Contact ratio factor",IF(Info!H8&gt;1.5,"Überdeckungsfaktor",IF(Info!H8&gt;0.5,"Yük payı faktörü","")))</f>
        <v>Yük payı faktörü</v>
      </c>
      <c r="C15" s="204" t="s">
        <v>142</v>
      </c>
      <c r="D15" s="212" t="s">
        <v>75</v>
      </c>
      <c r="E15" s="476">
        <f>AD154</f>
        <v>0.8056538031285458</v>
      </c>
      <c r="F15" s="216">
        <f>E15</f>
        <v>0.8056538031285458</v>
      </c>
      <c r="G15" s="1"/>
      <c r="H15" s="142" t="str">
        <f>IF(Info!H8&gt;2.5,"Distribution factor",IF(Info!H8&gt;1.5,"Zonenfaktor",IF(Info!H8&gt;0.5,"Diş yanağı form faktörü ","")))</f>
        <v>Diş yanağı form faktörü </v>
      </c>
      <c r="I15" s="301" t="s">
        <v>154</v>
      </c>
      <c r="J15" s="302" t="s">
        <v>75</v>
      </c>
      <c r="K15" s="478">
        <f>AD311</f>
        <v>2.306346512525357</v>
      </c>
      <c r="L15" s="14"/>
      <c r="M15" s="748"/>
      <c r="N15" s="748"/>
      <c r="S15" s="742"/>
      <c r="T15" s="742"/>
      <c r="U15" s="742"/>
      <c r="V15" s="742"/>
      <c r="W15" s="742"/>
      <c r="X15" s="742"/>
      <c r="Y15" s="742"/>
      <c r="Z15" s="742"/>
      <c r="AA15" s="742"/>
      <c r="AB15" s="742"/>
      <c r="AC15" s="742"/>
      <c r="AD15" s="742"/>
    </row>
    <row r="16" spans="1:14" ht="15" customHeight="1">
      <c r="A16" s="121"/>
      <c r="B16" s="13" t="str">
        <f>IF(Info!H8&gt;2.5,"Helix factor",IF(Info!H8&gt;1.5,"Schrägenfaktor",IF(Info!H8&gt;0.5,"Helis faktörü ","")))</f>
        <v>Helis faktörü </v>
      </c>
      <c r="C16" s="298" t="s">
        <v>144</v>
      </c>
      <c r="D16" s="213" t="s">
        <v>75</v>
      </c>
      <c r="E16" s="477">
        <f>AD156</f>
        <v>1</v>
      </c>
      <c r="F16" s="10">
        <f>E16</f>
        <v>1</v>
      </c>
      <c r="G16" s="1"/>
      <c r="H16" s="91" t="str">
        <f>IF(Info!H8&gt;2.5,"Elastic factor",IF(Info!H8&gt;1.5,"Elastizitätsfaktor",IF(Info!H8&gt;0.5,"Elastikiyet faktörü ","")))</f>
        <v>Elastikiyet faktörü </v>
      </c>
      <c r="I16" s="303" t="s">
        <v>155</v>
      </c>
      <c r="J16" s="304" t="s">
        <v>75</v>
      </c>
      <c r="K16" s="480">
        <f>AD316</f>
        <v>191.64567250641844</v>
      </c>
      <c r="L16" s="14"/>
      <c r="M16" s="748"/>
      <c r="N16" s="748"/>
    </row>
    <row r="17" spans="1:30" ht="15" customHeight="1">
      <c r="A17" s="121"/>
      <c r="B17" s="85" t="str">
        <f>IF(Info!H8&gt;2.5,"Foot reference stress",IF(Info!H8&gt;1.5,"Fussvergleichsspannung",IF(Info!H8&gt;0.5,"Diş dibi karşılaştırma mukavemeti","")))</f>
        <v>Diş dibi karşılaştırma mukavemeti</v>
      </c>
      <c r="C17" s="300"/>
      <c r="D17" s="90"/>
      <c r="E17" s="15"/>
      <c r="F17" s="15"/>
      <c r="G17" s="1"/>
      <c r="H17" s="28" t="str">
        <f>IF(Info!H8&gt;2.5,"Available flank pressure",IF(Info!H8&gt;1.5,"Vorhandene Flankenpressung",IF(Info!H8&gt;0.5,"İşletmede Hertz basıncı","")))</f>
        <v>İşletmede Hertz basıncı</v>
      </c>
      <c r="I17" s="99"/>
      <c r="J17" s="15"/>
      <c r="K17" s="19"/>
      <c r="L17" s="14"/>
      <c r="M17" s="748"/>
      <c r="N17" s="748"/>
      <c r="S17" s="743" t="s">
        <v>214</v>
      </c>
      <c r="T17" s="743"/>
      <c r="U17" s="743"/>
      <c r="V17" s="743"/>
      <c r="W17" s="743"/>
      <c r="X17" s="743"/>
      <c r="Y17" s="743"/>
      <c r="Z17" s="743"/>
      <c r="AA17" s="743"/>
      <c r="AB17" s="743"/>
      <c r="AC17" s="743"/>
      <c r="AD17" s="743"/>
    </row>
    <row r="18" spans="1:14" ht="15" customHeight="1">
      <c r="A18" s="121"/>
      <c r="B18" s="127" t="str">
        <f>B17</f>
        <v>Diş dibi karşılaştırma mukavemeti</v>
      </c>
      <c r="C18" s="291" t="s">
        <v>147</v>
      </c>
      <c r="D18" s="295" t="s">
        <v>48</v>
      </c>
      <c r="E18" s="141">
        <f>E12*E19*E20*E21*E22</f>
        <v>268.53258898541173</v>
      </c>
      <c r="F18" s="133">
        <f>F12*F19*F20*F21*F22</f>
        <v>264.22994240612803</v>
      </c>
      <c r="G18" s="1"/>
      <c r="H18" s="293" t="str">
        <f>IF(Info!H8&gt;2.5,"Hertz flank pressure",IF(Info!H8&gt;1.5,"Hertz'sche Flankenpressung ",IF(Info!H8&gt;0.5,"Yanaklarda Hertz basıncı","")))</f>
        <v>Yanaklarda Hertz basıncı</v>
      </c>
      <c r="I18" s="294" t="s">
        <v>139</v>
      </c>
      <c r="J18" s="295" t="s">
        <v>48</v>
      </c>
      <c r="K18" s="143">
        <f>(E7*(K10+1)/(K8*K7*K10))^(0.5)*K15*K16</f>
        <v>7304.6118685637475</v>
      </c>
      <c r="L18" s="14"/>
      <c r="M18" s="748" t="str">
        <f>IF(Info!H8&gt;2.5,S27,IF(Info!H8&gt;1.5,S22,S17))</f>
        <v>Araçlar  /  Seçenekler  /  Hesaplama  / yinelemeyi çengelleyin /  Şimdi Hesapla (F9) veya Tamam'a basın.</v>
      </c>
      <c r="N18" s="748"/>
    </row>
    <row r="19" spans="1:30" ht="15" customHeight="1">
      <c r="A19" s="121"/>
      <c r="B19" s="128" t="str">
        <f>IF(Info!H8&gt;2.5,"Application factor",IF(Info!H8&gt;1.5,"Anwendungsfaktor",IF(Info!H8&gt;0.5,"İşletme faktörü ","")))</f>
        <v>İşletme faktörü </v>
      </c>
      <c r="C19" s="203" t="s">
        <v>143</v>
      </c>
      <c r="D19" s="212" t="s">
        <v>75</v>
      </c>
      <c r="E19" s="476">
        <f>5!O5</f>
        <v>1.25</v>
      </c>
      <c r="F19" s="216">
        <f>E19</f>
        <v>1.25</v>
      </c>
      <c r="G19" s="1"/>
      <c r="H19" s="179" t="str">
        <f>H17</f>
        <v>İşletmede Hertz basıncı</v>
      </c>
      <c r="I19" s="413" t="s">
        <v>117</v>
      </c>
      <c r="J19" s="286" t="s">
        <v>48</v>
      </c>
      <c r="K19" s="414">
        <f>K12*(K20*K21*K22*K23)^(0.5)</f>
        <v>8179.9229270114</v>
      </c>
      <c r="L19" s="14"/>
      <c r="M19" s="748"/>
      <c r="N19" s="748"/>
      <c r="S19" s="744" t="s">
        <v>215</v>
      </c>
      <c r="T19" s="744"/>
      <c r="U19" s="744"/>
      <c r="V19" s="744"/>
      <c r="W19" s="744"/>
      <c r="X19" s="744"/>
      <c r="Y19" s="744"/>
      <c r="Z19" s="744"/>
      <c r="AA19" s="744"/>
      <c r="AB19" s="744"/>
      <c r="AC19" s="744"/>
      <c r="AD19" s="744"/>
    </row>
    <row r="20" spans="1:30" ht="15" customHeight="1">
      <c r="A20" s="121"/>
      <c r="B20" s="128" t="str">
        <f>IF(Info!H8&gt;2.5,"Dynamics factor",IF(Info!H8&gt;1.5,"Dynamikfaktor",IF(Info!H8&gt;0.5,"Dinamik faktör","")))</f>
        <v>Dinamik faktör</v>
      </c>
      <c r="C20" s="204" t="s">
        <v>145</v>
      </c>
      <c r="D20" s="212" t="s">
        <v>75</v>
      </c>
      <c r="E20" s="476">
        <f>AD94</f>
        <v>1.0001912641900794</v>
      </c>
      <c r="F20" s="216">
        <f>E20</f>
        <v>1.0001912641900794</v>
      </c>
      <c r="G20" s="1"/>
      <c r="H20" s="179" t="str">
        <f>B19</f>
        <v>İşletme faktörü </v>
      </c>
      <c r="I20" s="297" t="s">
        <v>143</v>
      </c>
      <c r="J20" s="208" t="s">
        <v>75</v>
      </c>
      <c r="K20" s="216">
        <f>E19</f>
        <v>1.25</v>
      </c>
      <c r="L20" s="14"/>
      <c r="M20" s="748"/>
      <c r="N20" s="748"/>
      <c r="S20" s="744"/>
      <c r="T20" s="744"/>
      <c r="U20" s="744"/>
      <c r="V20" s="744"/>
      <c r="W20" s="744"/>
      <c r="X20" s="744"/>
      <c r="Y20" s="744"/>
      <c r="Z20" s="744"/>
      <c r="AA20" s="744"/>
      <c r="AB20" s="744"/>
      <c r="AC20" s="744"/>
      <c r="AD20" s="744"/>
    </row>
    <row r="21" spans="1:14" ht="15" customHeight="1">
      <c r="A21" s="121"/>
      <c r="B21" s="128" t="str">
        <f>IF(Info!H8&gt;2.5,"Width factor",IF(Info!H8&gt;1.5,"Breitenfaktor",IF(Info!H8&gt;0.5,"Yük dağılma faktörü","")))</f>
        <v>Yük dağılma faktörü</v>
      </c>
      <c r="C21" s="204" t="s">
        <v>150</v>
      </c>
      <c r="D21" s="212" t="s">
        <v>75</v>
      </c>
      <c r="E21" s="479">
        <f>AD150</f>
        <v>1.0285482056187143</v>
      </c>
      <c r="F21" s="216">
        <f>E21</f>
        <v>1.0285482056187143</v>
      </c>
      <c r="G21" s="1"/>
      <c r="H21" s="179" t="str">
        <f>B20</f>
        <v>Dinamik faktör</v>
      </c>
      <c r="I21" s="299" t="s">
        <v>145</v>
      </c>
      <c r="J21" s="208" t="s">
        <v>75</v>
      </c>
      <c r="K21" s="216">
        <f>E20</f>
        <v>1.0001912641900794</v>
      </c>
      <c r="L21" s="14"/>
      <c r="M21" s="748"/>
      <c r="N21" s="748"/>
    </row>
    <row r="22" spans="1:30" ht="15" customHeight="1">
      <c r="A22" s="121"/>
      <c r="B22" s="169" t="str">
        <f>IF(Info!H8&gt;2.5,"Transverse factor",IF(Info!H8&gt;1.5,"Stirnfaktor",IF(Info!H8&gt;0.5,"Alın yükü dağılma faktörü","")))</f>
        <v>Alın yükü dağılma faktörü</v>
      </c>
      <c r="C22" s="205" t="s">
        <v>152</v>
      </c>
      <c r="D22" s="213" t="s">
        <v>75</v>
      </c>
      <c r="E22" s="477">
        <f>AD158</f>
        <v>1.1</v>
      </c>
      <c r="F22" s="10">
        <f>E22</f>
        <v>1.1</v>
      </c>
      <c r="G22" s="1"/>
      <c r="H22" s="142" t="str">
        <f>B21</f>
        <v>Yük dağılma faktörü</v>
      </c>
      <c r="I22" s="301" t="s">
        <v>146</v>
      </c>
      <c r="J22" s="302" t="s">
        <v>75</v>
      </c>
      <c r="K22" s="216">
        <f>AD84</f>
        <v>1.0321781048295486</v>
      </c>
      <c r="L22" s="14"/>
      <c r="M22" s="748"/>
      <c r="N22" s="748"/>
      <c r="S22" s="745" t="s">
        <v>216</v>
      </c>
      <c r="T22" s="745"/>
      <c r="U22" s="745"/>
      <c r="V22" s="745"/>
      <c r="W22" s="745"/>
      <c r="X22" s="745"/>
      <c r="Y22" s="745"/>
      <c r="Z22" s="745"/>
      <c r="AA22" s="745"/>
      <c r="AB22" s="745"/>
      <c r="AC22" s="745"/>
      <c r="AD22" s="745"/>
    </row>
    <row r="23" spans="1:14" ht="15" customHeight="1">
      <c r="A23" s="121"/>
      <c r="B23" s="85" t="str">
        <f>IF(Info!H8&gt;2.5,"Strength depending on shape root of teeth",IF(Info!H8&gt;1.5,"Gestaltfestigkeit am Zahnfuss",IF(Info!H8&gt;0.5,"Diş dibi form mukavemeti","")))</f>
        <v>Diş dibi form mukavemeti</v>
      </c>
      <c r="C23" s="290"/>
      <c r="D23" s="15"/>
      <c r="E23" s="15"/>
      <c r="F23" s="15"/>
      <c r="G23" s="1"/>
      <c r="H23" s="91" t="str">
        <f>B22</f>
        <v>Alın yükü dağılma faktörü</v>
      </c>
      <c r="I23" s="303" t="s">
        <v>148</v>
      </c>
      <c r="J23" s="304" t="s">
        <v>75</v>
      </c>
      <c r="K23" s="10">
        <f>E22</f>
        <v>1.1</v>
      </c>
      <c r="L23" s="14"/>
      <c r="M23" s="1"/>
      <c r="N23" s="1"/>
    </row>
    <row r="24" spans="1:30" ht="15" customHeight="1">
      <c r="A24" s="121"/>
      <c r="B24" s="170" t="str">
        <f>B23</f>
        <v>Diş dibi form mukavemeti</v>
      </c>
      <c r="C24" s="305" t="s">
        <v>116</v>
      </c>
      <c r="D24" s="292" t="s">
        <v>48</v>
      </c>
      <c r="E24" s="144">
        <f>E8*E25*E26*E27*E28*E29</f>
        <v>637.7697773674023</v>
      </c>
      <c r="F24" s="145">
        <f>F8*F25*F26*F27*F28*F29</f>
        <v>637.7697773674023</v>
      </c>
      <c r="G24" s="1"/>
      <c r="H24" s="28" t="str">
        <f>IF(Info!H8&gt;2.5,"Stregth depending for flanks",IF(Info!H8&gt;1.5,"Gestaltfestigkeit für Flanken",IF(Info!H8&gt;0.5,"Diş yanağı form mukavemeti","")))</f>
        <v>Diş yanağı form mukavemeti</v>
      </c>
      <c r="I24" s="99"/>
      <c r="J24" s="15"/>
      <c r="K24" s="86" t="str">
        <f>E6</f>
        <v>Pinyon</v>
      </c>
      <c r="L24" s="86" t="str">
        <f>F6</f>
        <v>Çark</v>
      </c>
      <c r="M24" s="14"/>
      <c r="N24" s="90"/>
      <c r="S24" s="746" t="s">
        <v>217</v>
      </c>
      <c r="T24" s="746"/>
      <c r="U24" s="746"/>
      <c r="V24" s="746"/>
      <c r="W24" s="746"/>
      <c r="X24" s="746"/>
      <c r="Y24" s="746"/>
      <c r="Z24" s="746"/>
      <c r="AA24" s="746"/>
      <c r="AB24" s="746"/>
      <c r="AC24" s="746"/>
      <c r="AD24" s="746"/>
    </row>
    <row r="25" spans="1:30" ht="15" customHeight="1">
      <c r="A25" s="121"/>
      <c r="B25" s="172" t="str">
        <f>IF(Info!H8&gt;2.5,"Stress correction factor",IF(Info!H8&gt;1.5,"Spannungskorrekturfaktor",IF(Info!H8&gt;0.5,"Mukavemet düzeltme faktörü","")))</f>
        <v>Mukavemet düzeltme faktörü</v>
      </c>
      <c r="C25" s="203" t="s">
        <v>44</v>
      </c>
      <c r="D25" s="212" t="s">
        <v>75</v>
      </c>
      <c r="E25" s="474">
        <f>AD242</f>
        <v>2</v>
      </c>
      <c r="F25" s="216">
        <f>E25</f>
        <v>2</v>
      </c>
      <c r="G25" s="1"/>
      <c r="H25" s="306" t="str">
        <f>H24</f>
        <v>Diş yanağı form mukavemeti</v>
      </c>
      <c r="I25" s="294" t="s">
        <v>118</v>
      </c>
      <c r="J25" s="295" t="s">
        <v>48</v>
      </c>
      <c r="K25" s="134">
        <f>E9*K26*(K27*K28*K29)*K30*K31</f>
        <v>1121.0237250411988</v>
      </c>
      <c r="L25" s="134">
        <f>E9*L26*(L27*L28*L29)*L30*L31</f>
        <v>1121.0237250411988</v>
      </c>
      <c r="S25" s="746"/>
      <c r="T25" s="746"/>
      <c r="U25" s="746"/>
      <c r="V25" s="746"/>
      <c r="W25" s="746"/>
      <c r="X25" s="746"/>
      <c r="Y25" s="746"/>
      <c r="Z25" s="746"/>
      <c r="AA25" s="746"/>
      <c r="AB25" s="746"/>
      <c r="AC25" s="746"/>
      <c r="AD25" s="746"/>
    </row>
    <row r="26" spans="1:14" ht="15" customHeight="1">
      <c r="A26" s="121"/>
      <c r="B26" s="128" t="str">
        <f>IF(Info!H8&gt;2.5,"Life time factor",IF(Info!H8&gt;1.5,"Lebensdauerfaktor",IF(Info!H8&gt;0.5,"Dayanma süresi faktörü ","")))</f>
        <v>Dayanma süresi faktörü </v>
      </c>
      <c r="C26" s="204" t="s">
        <v>45</v>
      </c>
      <c r="D26" s="212" t="s">
        <v>75</v>
      </c>
      <c r="E26" s="474">
        <f>AD245</f>
        <v>1</v>
      </c>
      <c r="F26" s="216">
        <f>E26</f>
        <v>1</v>
      </c>
      <c r="G26" s="1"/>
      <c r="H26" s="307" t="str">
        <f>B26</f>
        <v>Dayanma süresi faktörü </v>
      </c>
      <c r="I26" s="299" t="s">
        <v>156</v>
      </c>
      <c r="J26" s="208" t="s">
        <v>75</v>
      </c>
      <c r="K26" s="474">
        <f>AD334</f>
        <v>1.2370058841467824</v>
      </c>
      <c r="L26" s="216">
        <f aca="true" t="shared" si="0" ref="L26:L31">K26</f>
        <v>1.2370058841467824</v>
      </c>
      <c r="M26" s="92" t="s">
        <v>259</v>
      </c>
      <c r="N26" s="423">
        <f>Z199</f>
        <v>-0.51</v>
      </c>
    </row>
    <row r="27" spans="1:30" ht="15" customHeight="1">
      <c r="A27" s="121"/>
      <c r="B27" s="172" t="str">
        <f>IF(Info!H8&gt;2.5,"Relative supporting digit",IF(Info!H8&gt;1.5,"Relative Stützziffer",IF(Info!H8&gt;0.5,"Göreceli dayanışma faktörü","")))</f>
        <v>Göreceli dayanışma faktörü</v>
      </c>
      <c r="C27" s="204" t="s">
        <v>50</v>
      </c>
      <c r="D27" s="212" t="s">
        <v>75</v>
      </c>
      <c r="E27" s="474">
        <f>AD255</f>
        <v>1</v>
      </c>
      <c r="F27" s="216">
        <f>E27</f>
        <v>1</v>
      </c>
      <c r="G27" s="1"/>
      <c r="H27" s="179" t="str">
        <f>IF(Info!H8&gt;2.5,"Lubricant factor",IF(Info!H8&gt;1.5,"Schmierstoffaktor",IF(Info!H8&gt;0.5,"Yağlama faktörü","")))</f>
        <v>Yağlama faktörü</v>
      </c>
      <c r="I27" s="299" t="s">
        <v>157</v>
      </c>
      <c r="J27" s="208" t="s">
        <v>75</v>
      </c>
      <c r="K27" s="474">
        <f>AD341</f>
        <v>0.9712519900626262</v>
      </c>
      <c r="L27" s="216">
        <f t="shared" si="0"/>
        <v>0.9712519900626262</v>
      </c>
      <c r="M27" s="92" t="s">
        <v>260</v>
      </c>
      <c r="N27" s="424">
        <f>AC199</f>
        <v>-0.8019137620692556</v>
      </c>
      <c r="S27" s="747" t="s">
        <v>216</v>
      </c>
      <c r="T27" s="747"/>
      <c r="U27" s="747"/>
      <c r="V27" s="747"/>
      <c r="W27" s="747"/>
      <c r="X27" s="747"/>
      <c r="Y27" s="747"/>
      <c r="Z27" s="747"/>
      <c r="AA27" s="747"/>
      <c r="AB27" s="747"/>
      <c r="AC27" s="747"/>
      <c r="AD27" s="747"/>
    </row>
    <row r="28" spans="1:14" ht="15" customHeight="1">
      <c r="A28" s="121"/>
      <c r="B28" s="172" t="str">
        <f>IF(Info!H8&gt;2.5,"Relative surface factor",IF(Info!H8&gt;1.5,"Relative Oberflächenfaktor",IF(Info!H8&gt;0.5,"Göreceli yüzey faktörü","")))</f>
        <v>Göreceli yüzey faktörü</v>
      </c>
      <c r="C28" s="204" t="s">
        <v>46</v>
      </c>
      <c r="D28" s="212" t="s">
        <v>75</v>
      </c>
      <c r="E28" s="474">
        <f>AD258</f>
        <v>1.0286609312377457</v>
      </c>
      <c r="F28" s="216">
        <f>E28</f>
        <v>1.0286609312377457</v>
      </c>
      <c r="G28" s="1"/>
      <c r="H28" s="179" t="str">
        <f>IF(Info!H8&gt;2.5,"Rate factor",IF(Info!H8&gt;1.5,"Geschwindigkeitsfaktor",IF(Info!H8&gt;0.5,"Hız faktörü","")))</f>
        <v>Hız faktörü</v>
      </c>
      <c r="I28" s="299" t="s">
        <v>158</v>
      </c>
      <c r="J28" s="208" t="s">
        <v>75</v>
      </c>
      <c r="K28" s="474">
        <f>AD353</f>
        <v>0.9161361645813426</v>
      </c>
      <c r="L28" s="216">
        <f t="shared" si="0"/>
        <v>0.9161361645813426</v>
      </c>
      <c r="M28" s="92" t="s">
        <v>261</v>
      </c>
      <c r="N28" s="424">
        <f>2!D27</f>
        <v>12</v>
      </c>
    </row>
    <row r="29" spans="1:14" ht="15" customHeight="1">
      <c r="A29" s="121"/>
      <c r="B29" s="169" t="str">
        <f>IF(Info!H8&gt;2.5,"Size factor",IF(Info!H8&gt;1.5,"Grössenfaktor",IF(Info!H8&gt;0.5,"Büyüklük faktörü","")))</f>
        <v>Büyüklük faktörü</v>
      </c>
      <c r="C29" s="205" t="s">
        <v>47</v>
      </c>
      <c r="D29" s="213" t="s">
        <v>75</v>
      </c>
      <c r="E29" s="481">
        <f>AD270</f>
        <v>1</v>
      </c>
      <c r="F29" s="10">
        <f>E29</f>
        <v>1</v>
      </c>
      <c r="G29" s="1"/>
      <c r="H29" s="128" t="str">
        <f>IF(Info!H8&gt;2.5,"Roughness factor",IF(Info!H8&gt;1.5,"Rauigkeitsfaktor",IF(Info!H8&gt;0.5,"Kalite faktörü","")))</f>
        <v>Kalite faktörü</v>
      </c>
      <c r="I29" s="209" t="s">
        <v>159</v>
      </c>
      <c r="J29" s="212" t="s">
        <v>75</v>
      </c>
      <c r="K29" s="474">
        <f>AD361</f>
        <v>0.9258878911371474</v>
      </c>
      <c r="L29" s="216">
        <f t="shared" si="0"/>
        <v>0.9258878911371474</v>
      </c>
      <c r="M29" s="92" t="s">
        <v>262</v>
      </c>
      <c r="N29" s="424">
        <f>2!E27</f>
        <v>48</v>
      </c>
    </row>
    <row r="30" spans="1:14" ht="15" customHeight="1">
      <c r="A30" s="121"/>
      <c r="B30" s="28" t="str">
        <f>IF(Info!H8&gt;2.5,"Safety factors for the tooth base",IF(Info!H8&gt;1.5,"Sicherheitsfaktoren am Zahnfuss",IF(Info!H8&gt;0.5,"Malzemenin diş dibi yorulma kırılmasına karşı emniyet katsayısı","")))</f>
        <v>Malzemenin diş dibi yorulma kırılmasına karşı emniyet katsayısı</v>
      </c>
      <c r="C30" s="290"/>
      <c r="D30" s="15"/>
      <c r="E30" s="15"/>
      <c r="F30" s="15"/>
      <c r="G30" s="1"/>
      <c r="H30" s="128" t="str">
        <f>IF(Info!H8&gt;2.5,"Pairing of materials factor",IF(Info!H8&gt;1.5,"Werkstoffpaarungsfaktor",IF(Info!H8&gt;0.5,"Malzeme çifti faktörü","")))</f>
        <v>Malzeme çifti faktörü</v>
      </c>
      <c r="I30" s="209" t="s">
        <v>160</v>
      </c>
      <c r="J30" s="212" t="s">
        <v>75</v>
      </c>
      <c r="K30" s="474">
        <f>AD372</f>
        <v>1</v>
      </c>
      <c r="L30" s="216">
        <f t="shared" si="0"/>
        <v>1</v>
      </c>
      <c r="M30" s="92" t="s">
        <v>263</v>
      </c>
      <c r="N30" s="424">
        <f>Z201</f>
        <v>-0.8112954110661595</v>
      </c>
    </row>
    <row r="31" spans="1:14" ht="15" customHeight="1">
      <c r="A31" s="121"/>
      <c r="B31" s="170" t="str">
        <f>IF(Info!H8&gt;2.5,"Available safety factors",IF(Info!H8&gt;1.5,"Vorh. Sicherheitsfaktoren",IF(Info!H8&gt;0.5,"Hesapsal Emniyet faktörü","")))</f>
        <v>Hesapsal Emniyet faktörü</v>
      </c>
      <c r="C31" s="308" t="s">
        <v>119</v>
      </c>
      <c r="D31" s="148" t="s">
        <v>75</v>
      </c>
      <c r="E31" s="174">
        <f>E24/E18</f>
        <v>2.3750181673556563</v>
      </c>
      <c r="F31" s="175">
        <f>F24/F18</f>
        <v>2.4136922998194286</v>
      </c>
      <c r="G31" s="1"/>
      <c r="H31" s="310" t="str">
        <f>B29</f>
        <v>Büyüklük faktörü</v>
      </c>
      <c r="I31" s="311" t="s">
        <v>162</v>
      </c>
      <c r="J31" s="312" t="s">
        <v>75</v>
      </c>
      <c r="K31" s="481">
        <f>AD376</f>
        <v>1</v>
      </c>
      <c r="L31" s="10">
        <f t="shared" si="0"/>
        <v>1</v>
      </c>
      <c r="M31" s="92" t="s">
        <v>264</v>
      </c>
      <c r="N31" s="424">
        <f>AC201</f>
        <v>-0.9882220161639881</v>
      </c>
    </row>
    <row r="32" spans="1:14" ht="15" customHeight="1">
      <c r="A32" s="121"/>
      <c r="B32" s="13" t="str">
        <f>1!H30</f>
        <v>Gerekli Emniyet faktörü</v>
      </c>
      <c r="C32" s="309" t="s">
        <v>161</v>
      </c>
      <c r="D32" s="213" t="s">
        <v>75</v>
      </c>
      <c r="E32" s="739">
        <f>6!G6</f>
        <v>1.4</v>
      </c>
      <c r="F32" s="740"/>
      <c r="G32" s="1"/>
      <c r="H32" s="28" t="str">
        <f>IF(Info!H8&gt;2.5,"Safety factors for flank pressure",IF(Info!H8&gt;1.5,"Sicherheitsfaktoren für Flankenpressung",IF(Info!H8&gt;0.5,"Malzemenin diş yanağının oyuklaşmaya karşı emniyet katsayısı","")))</f>
        <v>Malzemenin diş yanağının oyuklaşmaya karşı emniyet katsayısı</v>
      </c>
      <c r="I32" s="99"/>
      <c r="J32" s="19"/>
      <c r="K32" s="15"/>
      <c r="L32" s="15"/>
      <c r="M32" s="14"/>
      <c r="N32" s="14"/>
    </row>
    <row r="33" spans="1:12" ht="15" customHeight="1">
      <c r="A33" s="121"/>
      <c r="B33" s="240"/>
      <c r="C33" s="240"/>
      <c r="D33" s="240"/>
      <c r="E33" s="741" t="str">
        <f>IF(Info!H8&gt;2.5,V11,IF(Info!H8&gt;1.5,V10,V9))</f>
        <v>Yeterli</v>
      </c>
      <c r="F33" s="741"/>
      <c r="G33" s="1"/>
      <c r="H33" s="170" t="str">
        <f>B31</f>
        <v>Hesapsal Emniyet faktörü</v>
      </c>
      <c r="I33" s="210" t="s">
        <v>120</v>
      </c>
      <c r="J33" s="212" t="s">
        <v>75</v>
      </c>
      <c r="K33" s="214">
        <f>K25/K19</f>
        <v>0.1370457564263107</v>
      </c>
      <c r="L33" s="215">
        <f>L25/K19</f>
        <v>0.1370457564263107</v>
      </c>
    </row>
    <row r="34" spans="1:12" ht="15" customHeight="1">
      <c r="A34" s="121"/>
      <c r="B34" s="313" t="str">
        <f>2!F40</f>
        <v>Düşünceler :</v>
      </c>
      <c r="C34" s="240"/>
      <c r="D34" s="240"/>
      <c r="E34" s="240"/>
      <c r="F34" s="240"/>
      <c r="H34" s="169" t="str">
        <f>B32</f>
        <v>Gerekli Emniyet faktörü</v>
      </c>
      <c r="I34" s="211" t="s">
        <v>163</v>
      </c>
      <c r="J34" s="213" t="s">
        <v>75</v>
      </c>
      <c r="K34" s="739">
        <f>6!G7</f>
        <v>0.8</v>
      </c>
      <c r="L34" s="740"/>
    </row>
    <row r="35" spans="1:13" ht="15" customHeight="1">
      <c r="A35" s="240"/>
      <c r="B35" s="750"/>
      <c r="C35" s="750"/>
      <c r="D35" s="750"/>
      <c r="E35" s="750"/>
      <c r="F35" s="240"/>
      <c r="G35" s="240"/>
      <c r="K35" s="758" t="str">
        <f>IF(Info!H8&gt;2.5,AB11,IF(Info!H8&gt;1.5,AB10,AB9))</f>
        <v>Yetersiz</v>
      </c>
      <c r="L35" s="758"/>
      <c r="M35" s="201"/>
    </row>
    <row r="36" spans="1:7" ht="15" customHeight="1">
      <c r="A36" s="240"/>
      <c r="B36" s="750"/>
      <c r="C36" s="750"/>
      <c r="D36" s="750"/>
      <c r="E36" s="750"/>
      <c r="F36" s="240"/>
      <c r="G36" s="240"/>
    </row>
    <row r="37" spans="1:16" ht="15" customHeight="1">
      <c r="A37" s="240"/>
      <c r="G37" s="1"/>
      <c r="H37" s="1"/>
      <c r="N37" s="240"/>
      <c r="O37" s="121"/>
      <c r="P37" s="121"/>
    </row>
    <row r="38" spans="1:16" ht="15" customHeight="1" thickBot="1">
      <c r="A38" s="240"/>
      <c r="B38" s="240"/>
      <c r="G38" s="1"/>
      <c r="N38" s="242"/>
      <c r="O38" s="314"/>
      <c r="P38" s="314"/>
    </row>
    <row r="39" spans="1:30" ht="19.5" customHeight="1" thickBot="1">
      <c r="A39" s="240"/>
      <c r="B39" s="240"/>
      <c r="G39" s="1"/>
      <c r="N39" s="242"/>
      <c r="O39" s="314"/>
      <c r="P39" s="314"/>
      <c r="T39" s="629" t="str">
        <f>B13</f>
        <v>Dişüstü faktörü</v>
      </c>
      <c r="U39" s="535" t="s">
        <v>519</v>
      </c>
      <c r="AC39" s="630" t="s">
        <v>376</v>
      </c>
      <c r="AD39" s="631">
        <f>6*AA44*AA45/AA46^2/AA47</f>
        <v>2.4777542657209333</v>
      </c>
    </row>
    <row r="40" spans="1:16" ht="19.5" customHeight="1" thickBot="1">
      <c r="A40" s="240"/>
      <c r="B40" s="240"/>
      <c r="G40" s="1"/>
      <c r="N40" s="242"/>
      <c r="O40" s="314"/>
      <c r="P40" s="314"/>
    </row>
    <row r="41" spans="17:32" ht="19.5" customHeight="1" thickBot="1">
      <c r="Q41" s="243"/>
      <c r="R41" s="243"/>
      <c r="S41" s="585"/>
      <c r="T41" s="614"/>
      <c r="U41" s="245"/>
      <c r="V41" s="245"/>
      <c r="W41" s="245"/>
      <c r="X41" s="245"/>
      <c r="Y41" s="245"/>
      <c r="AC41" s="630" t="s">
        <v>377</v>
      </c>
      <c r="AD41" s="631">
        <f>6*AD44*AD45/AD46^2/AD47</f>
        <v>2.1684002429505393</v>
      </c>
      <c r="AE41" s="245"/>
      <c r="AF41" s="262"/>
    </row>
    <row r="42" spans="17:32" ht="19.5" customHeight="1">
      <c r="Q42" s="491"/>
      <c r="R42" s="491"/>
      <c r="S42" s="615"/>
      <c r="T42" s="585"/>
      <c r="U42" s="491"/>
      <c r="V42" s="491"/>
      <c r="W42" s="491"/>
      <c r="X42" s="534"/>
      <c r="Y42" s="491"/>
      <c r="Z42" s="491"/>
      <c r="AA42" s="585"/>
      <c r="AB42" s="585"/>
      <c r="AC42" s="491"/>
      <c r="AD42" s="491"/>
      <c r="AE42" s="491"/>
      <c r="AF42" s="416"/>
    </row>
    <row r="43" spans="17:32" ht="19.5" customHeight="1">
      <c r="Q43" s="491"/>
      <c r="R43" s="491"/>
      <c r="S43" s="615"/>
      <c r="T43" s="585"/>
      <c r="U43" s="491"/>
      <c r="V43" s="491"/>
      <c r="W43" s="491"/>
      <c r="X43" s="534"/>
      <c r="Y43" s="491"/>
      <c r="Z43" s="491"/>
      <c r="AA43" s="585"/>
      <c r="AB43" s="585"/>
      <c r="AC43" s="491"/>
      <c r="AD43" s="491"/>
      <c r="AE43" s="491"/>
      <c r="AF43" s="416"/>
    </row>
    <row r="44" spans="17:32" ht="19.5" customHeight="1">
      <c r="Q44" s="491"/>
      <c r="R44" s="491"/>
      <c r="S44" s="615"/>
      <c r="T44" s="585"/>
      <c r="U44" s="491"/>
      <c r="V44" s="491"/>
      <c r="W44" s="491"/>
      <c r="X44" s="534"/>
      <c r="Y44" s="491"/>
      <c r="Z44" s="492" t="s">
        <v>378</v>
      </c>
      <c r="AA44" s="563">
        <f>AA57/2*(AA47/AA45-COS(PI()/3-AA55))+0.5*(AA56/AA58-AA54/COS(AA55))</f>
        <v>1.9772722758779118</v>
      </c>
      <c r="AB44" s="585"/>
      <c r="AC44" s="492" t="s">
        <v>379</v>
      </c>
      <c r="AD44" s="484">
        <f>AD57/2*(AD47/AD45-COS(PI()/3-AD55))+0.5*(AD56/AD58-AD54/(COS(AD55)))</f>
        <v>1.9517627861306668</v>
      </c>
      <c r="AE44" s="491"/>
      <c r="AF44" s="416"/>
    </row>
    <row r="45" spans="17:32" ht="19.5" customHeight="1">
      <c r="Q45" s="491"/>
      <c r="R45" s="491"/>
      <c r="S45" s="615"/>
      <c r="T45" s="585"/>
      <c r="U45" s="491"/>
      <c r="V45" s="491"/>
      <c r="W45" s="491"/>
      <c r="X45" s="534"/>
      <c r="Y45" s="491"/>
      <c r="Z45" s="492" t="s">
        <v>380</v>
      </c>
      <c r="AA45" s="563">
        <f>COS(AA60)</f>
        <v>0.7738016392231883</v>
      </c>
      <c r="AB45" s="585"/>
      <c r="AC45" s="492" t="s">
        <v>381</v>
      </c>
      <c r="AD45" s="484">
        <f>COS(AD60)</f>
        <v>0.9035004341068377</v>
      </c>
      <c r="AE45" s="491"/>
      <c r="AF45" s="416"/>
    </row>
    <row r="46" spans="17:32" ht="19.5" customHeight="1">
      <c r="Q46" s="491"/>
      <c r="R46" s="491"/>
      <c r="S46" s="615"/>
      <c r="T46" s="585"/>
      <c r="U46" s="491"/>
      <c r="V46" s="491"/>
      <c r="W46" s="491"/>
      <c r="X46" s="534"/>
      <c r="Y46" s="491"/>
      <c r="Z46" s="492" t="s">
        <v>382</v>
      </c>
      <c r="AA46" s="563">
        <f>AA57*SIN(PI()/3-AA55)+3^0.5*(AA54/COS(AA55)-AA56/AA58)</f>
        <v>2.086896665911246</v>
      </c>
      <c r="AB46" s="585"/>
      <c r="AC46" s="492" t="s">
        <v>383</v>
      </c>
      <c r="AD46" s="484">
        <f>AD57*SIN(PI()/3-AD55)+3^0.5*(AD54/COS(AD55)-AD56/AD58)</f>
        <v>2.308348967242853</v>
      </c>
      <c r="AE46" s="491"/>
      <c r="AF46" s="416"/>
    </row>
    <row r="47" spans="17:32" ht="19.5" customHeight="1">
      <c r="Q47" s="491"/>
      <c r="R47" s="491"/>
      <c r="S47" s="615"/>
      <c r="T47" s="585"/>
      <c r="U47" s="491"/>
      <c r="V47" s="491"/>
      <c r="W47" s="491"/>
      <c r="X47" s="534"/>
      <c r="Y47" s="491"/>
      <c r="Z47" s="492" t="s">
        <v>384</v>
      </c>
      <c r="AA47" s="563">
        <f>COS(1!F21*PI()/180)</f>
        <v>0.9396926207859084</v>
      </c>
      <c r="AB47" s="585"/>
      <c r="AC47" s="492" t="s">
        <v>384</v>
      </c>
      <c r="AD47" s="484">
        <f>AA47</f>
        <v>0.9396926207859084</v>
      </c>
      <c r="AE47" s="491"/>
      <c r="AF47" s="416"/>
    </row>
    <row r="48" spans="17:32" ht="19.5" customHeight="1">
      <c r="Q48" s="491"/>
      <c r="R48" s="491"/>
      <c r="S48" s="615"/>
      <c r="T48" s="585"/>
      <c r="U48" s="491"/>
      <c r="V48" s="491"/>
      <c r="W48" s="491"/>
      <c r="X48" s="534"/>
      <c r="Y48" s="491"/>
      <c r="Z48" s="491"/>
      <c r="AA48" s="585"/>
      <c r="AB48" s="585"/>
      <c r="AC48" s="491"/>
      <c r="AD48" s="491"/>
      <c r="AE48" s="491"/>
      <c r="AF48" s="416"/>
    </row>
    <row r="49" spans="17:32" ht="19.5" customHeight="1">
      <c r="Q49" s="491"/>
      <c r="R49" s="491"/>
      <c r="S49" s="615"/>
      <c r="T49" s="585"/>
      <c r="U49" s="491"/>
      <c r="V49" s="491"/>
      <c r="W49" s="491"/>
      <c r="X49" s="534"/>
      <c r="Y49" s="491"/>
      <c r="Z49" s="491"/>
      <c r="AA49" s="585"/>
      <c r="AB49" s="585"/>
      <c r="AC49" s="491"/>
      <c r="AD49" s="491"/>
      <c r="AE49" s="491"/>
      <c r="AF49" s="416"/>
    </row>
    <row r="50" spans="17:32" ht="19.5" customHeight="1">
      <c r="Q50" s="491"/>
      <c r="R50" s="491"/>
      <c r="S50" s="615"/>
      <c r="T50" s="585"/>
      <c r="U50" s="491"/>
      <c r="V50" s="491"/>
      <c r="W50" s="491"/>
      <c r="X50" s="534"/>
      <c r="Y50" s="491"/>
      <c r="Z50" s="492" t="s">
        <v>378</v>
      </c>
      <c r="AA50" s="563">
        <f>AA57/2*(AA47/AA45-COS(PI()/3-AA55))+0.5*(AA56/AA58-AA54/COS(AA55))</f>
        <v>1.9772722758779118</v>
      </c>
      <c r="AB50" s="585"/>
      <c r="AC50" s="492" t="s">
        <v>379</v>
      </c>
      <c r="AD50" s="484">
        <f>AD57/2*(AD47/AD45-COS(PI()/3-AD55))+0.5*(AD56/AD58-AD54/(COS(AD55)))</f>
        <v>1.9517627861306668</v>
      </c>
      <c r="AE50" s="491"/>
      <c r="AF50" s="1"/>
    </row>
    <row r="51" spans="17:32" ht="19.5" customHeight="1">
      <c r="Q51" s="491"/>
      <c r="R51" s="491"/>
      <c r="S51" s="615"/>
      <c r="T51" s="585"/>
      <c r="U51" s="491"/>
      <c r="V51" s="491"/>
      <c r="W51" s="491"/>
      <c r="X51" s="534"/>
      <c r="Y51" s="491"/>
      <c r="Z51" s="491"/>
      <c r="AA51" s="585"/>
      <c r="AB51" s="585"/>
      <c r="AC51" s="491"/>
      <c r="AD51" s="491"/>
      <c r="AE51" s="491"/>
      <c r="AF51" s="416"/>
    </row>
    <row r="52" spans="17:32" ht="19.5" customHeight="1">
      <c r="Q52" s="491"/>
      <c r="R52" s="491"/>
      <c r="S52" s="615"/>
      <c r="T52" s="585"/>
      <c r="U52" s="491"/>
      <c r="V52" s="491"/>
      <c r="W52" s="491"/>
      <c r="X52" s="534"/>
      <c r="Y52" s="491"/>
      <c r="Z52" s="491"/>
      <c r="AA52" s="585"/>
      <c r="AB52" s="585"/>
      <c r="AC52" s="491"/>
      <c r="AD52" s="491"/>
      <c r="AE52" s="491"/>
      <c r="AF52" s="416"/>
    </row>
    <row r="53" spans="17:32" ht="19.5" customHeight="1">
      <c r="Q53" s="491"/>
      <c r="R53" s="491"/>
      <c r="S53" s="615"/>
      <c r="T53" s="616"/>
      <c r="U53" s="491"/>
      <c r="V53" s="491"/>
      <c r="W53" s="491"/>
      <c r="X53" s="534"/>
      <c r="Y53" s="491"/>
      <c r="Z53" s="491"/>
      <c r="AA53" s="585"/>
      <c r="AB53" s="585"/>
      <c r="AC53" s="491"/>
      <c r="AD53" s="491"/>
      <c r="AE53" s="491"/>
      <c r="AF53" s="416"/>
    </row>
    <row r="54" spans="17:32" ht="19.5" customHeight="1">
      <c r="Q54" s="491"/>
      <c r="R54" s="491"/>
      <c r="S54" s="443"/>
      <c r="T54" s="585"/>
      <c r="U54" s="491"/>
      <c r="V54" s="491"/>
      <c r="W54" s="491"/>
      <c r="X54" s="534"/>
      <c r="Y54" s="491"/>
      <c r="Z54" s="532" t="s">
        <v>385</v>
      </c>
      <c r="AA54" s="584">
        <f>$Z$197-1</f>
        <v>-0.51</v>
      </c>
      <c r="AB54" s="585"/>
      <c r="AC54" s="532" t="s">
        <v>386</v>
      </c>
      <c r="AD54" s="533">
        <f>$AB$197-1</f>
        <v>-0.8019137620692556</v>
      </c>
      <c r="AE54" s="491"/>
      <c r="AF54" s="416"/>
    </row>
    <row r="55" spans="17:32" ht="19.5" customHeight="1">
      <c r="Q55" s="491"/>
      <c r="R55" s="491"/>
      <c r="S55" s="615"/>
      <c r="T55" s="585"/>
      <c r="U55" s="491"/>
      <c r="V55" s="491"/>
      <c r="W55" s="491"/>
      <c r="X55" s="534"/>
      <c r="Y55" s="491"/>
      <c r="Z55" s="535" t="s">
        <v>387</v>
      </c>
      <c r="AA55" s="588">
        <f>3!M7</f>
        <v>0.83597036036291</v>
      </c>
      <c r="AB55" s="585"/>
      <c r="AC55" s="535" t="s">
        <v>388</v>
      </c>
      <c r="AD55" s="522">
        <f>3!N7</f>
        <v>1.0007202734348892</v>
      </c>
      <c r="AE55" s="491"/>
      <c r="AF55" s="416"/>
    </row>
    <row r="56" spans="17:32" ht="19.5" customHeight="1">
      <c r="Q56" s="491"/>
      <c r="R56" s="491"/>
      <c r="S56" s="615"/>
      <c r="T56" s="616"/>
      <c r="U56" s="491"/>
      <c r="V56" s="491"/>
      <c r="W56" s="491"/>
      <c r="X56" s="534"/>
      <c r="Y56" s="491"/>
      <c r="Z56" s="535" t="s">
        <v>389</v>
      </c>
      <c r="AA56" s="588">
        <f>AB207</f>
        <v>0.75</v>
      </c>
      <c r="AB56" s="585"/>
      <c r="AC56" s="535" t="s">
        <v>389</v>
      </c>
      <c r="AD56" s="522">
        <f>AA56</f>
        <v>0.75</v>
      </c>
      <c r="AE56" s="491"/>
      <c r="AF56" s="416"/>
    </row>
    <row r="57" spans="17:32" ht="19.5" customHeight="1">
      <c r="Q57" s="491"/>
      <c r="R57" s="491"/>
      <c r="S57" s="615"/>
      <c r="T57" s="585"/>
      <c r="U57" s="491"/>
      <c r="V57" s="491"/>
      <c r="W57" s="491"/>
      <c r="X57" s="534"/>
      <c r="Y57" s="491"/>
      <c r="Z57" s="532" t="s">
        <v>390</v>
      </c>
      <c r="AA57" s="584">
        <f>2!D27</f>
        <v>12</v>
      </c>
      <c r="AB57" s="585"/>
      <c r="AC57" s="532" t="s">
        <v>391</v>
      </c>
      <c r="AD57" s="533">
        <f>2!E27</f>
        <v>48</v>
      </c>
      <c r="AE57" s="491"/>
      <c r="AF57" s="416"/>
    </row>
    <row r="58" spans="17:32" ht="19.5" customHeight="1">
      <c r="Q58" s="491"/>
      <c r="R58" s="491"/>
      <c r="S58" s="615"/>
      <c r="T58" s="585"/>
      <c r="U58" s="491"/>
      <c r="V58" s="491"/>
      <c r="W58" s="491"/>
      <c r="X58" s="534"/>
      <c r="Y58" s="491"/>
      <c r="Z58" s="535" t="s">
        <v>308</v>
      </c>
      <c r="AA58" s="588">
        <f>1!F19</f>
        <v>3</v>
      </c>
      <c r="AB58" s="585"/>
      <c r="AC58" s="535" t="s">
        <v>308</v>
      </c>
      <c r="AD58" s="522">
        <f>AA58</f>
        <v>3</v>
      </c>
      <c r="AE58" s="491"/>
      <c r="AF58" s="416"/>
    </row>
    <row r="59" spans="17:32" ht="19.5" customHeight="1">
      <c r="Q59" s="491"/>
      <c r="R59" s="491"/>
      <c r="S59" s="615"/>
      <c r="T59" s="616"/>
      <c r="U59" s="491"/>
      <c r="V59" s="491"/>
      <c r="W59" s="491"/>
      <c r="X59" s="534"/>
      <c r="Y59" s="491"/>
      <c r="Z59" s="491"/>
      <c r="AA59" s="585"/>
      <c r="AB59" s="585"/>
      <c r="AC59" s="491"/>
      <c r="AD59" s="491"/>
      <c r="AE59" s="491"/>
      <c r="AF59" s="416"/>
    </row>
    <row r="60" spans="17:32" ht="19.5" customHeight="1">
      <c r="Q60" s="491"/>
      <c r="R60" s="491"/>
      <c r="S60" s="615"/>
      <c r="T60" s="585"/>
      <c r="U60" s="491"/>
      <c r="V60" s="491"/>
      <c r="W60" s="491"/>
      <c r="X60" s="534"/>
      <c r="Y60" s="491"/>
      <c r="Z60" s="532" t="s">
        <v>392</v>
      </c>
      <c r="AA60" s="584">
        <f>AA62-AA75</f>
        <v>0.6859752899923359</v>
      </c>
      <c r="AB60" s="585"/>
      <c r="AC60" s="532" t="s">
        <v>393</v>
      </c>
      <c r="AD60" s="533">
        <f>AC62-AC75</f>
        <v>0.44292847094981447</v>
      </c>
      <c r="AE60" s="491"/>
      <c r="AF60" s="416"/>
    </row>
    <row r="61" spans="17:32" ht="19.5" customHeight="1">
      <c r="Q61" s="491"/>
      <c r="R61" s="491"/>
      <c r="S61" s="615"/>
      <c r="T61" s="585"/>
      <c r="U61" s="491"/>
      <c r="V61" s="491"/>
      <c r="W61" s="491"/>
      <c r="X61" s="534"/>
      <c r="Y61" s="491"/>
      <c r="Z61" s="491"/>
      <c r="AA61" s="585"/>
      <c r="AB61" s="585"/>
      <c r="AC61" s="491"/>
      <c r="AD61" s="491"/>
      <c r="AE61" s="245"/>
      <c r="AF61" s="1"/>
    </row>
    <row r="62" spans="17:32" ht="19.5" customHeight="1">
      <c r="Q62" s="491"/>
      <c r="R62" s="491"/>
      <c r="S62" s="615"/>
      <c r="T62" s="585"/>
      <c r="U62" s="491"/>
      <c r="V62" s="491"/>
      <c r="W62" s="491"/>
      <c r="X62" s="534"/>
      <c r="Y62" s="491"/>
      <c r="Z62" s="535" t="s">
        <v>394</v>
      </c>
      <c r="AA62" s="588">
        <f>ACOS(AA67/AA69)</f>
        <v>0.7111347039334032</v>
      </c>
      <c r="AB62" s="589" t="s">
        <v>395</v>
      </c>
      <c r="AC62" s="522">
        <f>ACOS(AC67/AC69)</f>
        <v>0.45848382913239005</v>
      </c>
      <c r="AD62" s="491"/>
      <c r="AE62" s="491"/>
      <c r="AF62" s="416"/>
    </row>
    <row r="63" spans="17:32" ht="19.5" customHeight="1">
      <c r="Q63" s="491"/>
      <c r="R63" s="491"/>
      <c r="S63" s="585"/>
      <c r="T63" s="585"/>
      <c r="U63" s="491"/>
      <c r="V63" s="491"/>
      <c r="W63" s="491"/>
      <c r="X63" s="534"/>
      <c r="Y63" s="491"/>
      <c r="Z63" s="491"/>
      <c r="AA63" s="585"/>
      <c r="AB63" s="585"/>
      <c r="AC63" s="491"/>
      <c r="AD63" s="491"/>
      <c r="AE63" s="491"/>
      <c r="AF63" s="416"/>
    </row>
    <row r="64" spans="17:32" ht="19.5" customHeight="1">
      <c r="Q64" s="491"/>
      <c r="R64" s="491"/>
      <c r="S64" s="585"/>
      <c r="T64" s="585"/>
      <c r="U64" s="491"/>
      <c r="V64" s="491"/>
      <c r="W64" s="491"/>
      <c r="X64" s="534"/>
      <c r="Y64" s="491"/>
      <c r="Z64" s="491"/>
      <c r="AA64" s="585"/>
      <c r="AB64" s="585"/>
      <c r="AC64" s="491"/>
      <c r="AD64" s="491"/>
      <c r="AE64" s="491"/>
      <c r="AF64" s="416"/>
    </row>
    <row r="65" spans="17:32" ht="19.5" customHeight="1">
      <c r="Q65" s="491"/>
      <c r="R65" s="491"/>
      <c r="S65" s="585"/>
      <c r="T65" s="585"/>
      <c r="U65" s="491"/>
      <c r="V65" s="491"/>
      <c r="W65" s="491"/>
      <c r="X65" s="534"/>
      <c r="Y65" s="491"/>
      <c r="Z65" s="491"/>
      <c r="AA65" s="585"/>
      <c r="AB65" s="585"/>
      <c r="AC65" s="491"/>
      <c r="AD65" s="491"/>
      <c r="AE65" s="491"/>
      <c r="AF65" s="416"/>
    </row>
    <row r="66" spans="17:32" ht="19.5" customHeight="1">
      <c r="Q66" s="491"/>
      <c r="R66" s="491"/>
      <c r="S66" s="585"/>
      <c r="T66" s="443"/>
      <c r="U66" s="491"/>
      <c r="V66" s="491"/>
      <c r="W66" s="491"/>
      <c r="X66" s="534"/>
      <c r="Y66" s="491"/>
      <c r="Z66" s="491"/>
      <c r="AA66" s="585"/>
      <c r="AB66" s="585"/>
      <c r="AC66" s="491"/>
      <c r="AD66" s="491"/>
      <c r="AE66" s="491"/>
      <c r="AF66" s="416"/>
    </row>
    <row r="67" spans="17:32" ht="19.5" customHeight="1">
      <c r="Q67" s="491"/>
      <c r="R67" s="491"/>
      <c r="S67" s="585"/>
      <c r="T67" s="585"/>
      <c r="U67" s="491"/>
      <c r="V67" s="491"/>
      <c r="W67" s="491"/>
      <c r="X67" s="534"/>
      <c r="Y67" s="491"/>
      <c r="Z67" s="535" t="s">
        <v>396</v>
      </c>
      <c r="AA67" s="588">
        <f>AA71*AA47</f>
        <v>33.828934348292705</v>
      </c>
      <c r="AB67" s="589" t="s">
        <v>397</v>
      </c>
      <c r="AC67" s="522">
        <f>AC71*AA47</f>
        <v>135.31573739317082</v>
      </c>
      <c r="AD67" s="491"/>
      <c r="AE67" s="491"/>
      <c r="AF67" s="416"/>
    </row>
    <row r="68" spans="17:32" ht="19.5" customHeight="1">
      <c r="Q68" s="491"/>
      <c r="R68" s="491"/>
      <c r="S68" s="443"/>
      <c r="T68" s="585"/>
      <c r="U68" s="491"/>
      <c r="V68" s="491"/>
      <c r="W68" s="491"/>
      <c r="X68" s="534"/>
      <c r="Y68" s="491"/>
      <c r="Z68" s="491"/>
      <c r="AA68" s="585"/>
      <c r="AB68" s="585"/>
      <c r="AC68" s="491"/>
      <c r="AD68" s="491"/>
      <c r="AE68" s="491"/>
      <c r="AF68" s="416"/>
    </row>
    <row r="69" spans="17:32" ht="19.5" customHeight="1">
      <c r="Q69" s="491"/>
      <c r="R69" s="491"/>
      <c r="S69" s="615"/>
      <c r="T69" s="585"/>
      <c r="U69" s="491"/>
      <c r="V69" s="491"/>
      <c r="W69" s="491"/>
      <c r="X69" s="534"/>
      <c r="Y69" s="491"/>
      <c r="Z69" s="535" t="s">
        <v>398</v>
      </c>
      <c r="AA69" s="588">
        <f>AA71+AA72-AA73</f>
        <v>44.651482572415546</v>
      </c>
      <c r="AB69" s="589" t="s">
        <v>399</v>
      </c>
      <c r="AC69" s="522">
        <f>AC71+AC72-AC73</f>
        <v>150.89999999999998</v>
      </c>
      <c r="AD69" s="491"/>
      <c r="AE69" s="491"/>
      <c r="AF69" s="416"/>
    </row>
    <row r="70" spans="17:32" ht="19.5" customHeight="1">
      <c r="Q70" s="491"/>
      <c r="R70" s="491"/>
      <c r="S70" s="615"/>
      <c r="T70" s="585"/>
      <c r="U70" s="491"/>
      <c r="V70" s="491"/>
      <c r="W70" s="491"/>
      <c r="X70" s="534"/>
      <c r="Y70" s="491"/>
      <c r="Z70" s="491"/>
      <c r="AA70" s="585"/>
      <c r="AB70" s="535" t="s">
        <v>400</v>
      </c>
      <c r="AC70" s="522">
        <f>TAN(1!F21*PI()/180)</f>
        <v>0.36397023426620234</v>
      </c>
      <c r="AE70" s="491"/>
      <c r="AF70" s="416"/>
    </row>
    <row r="71" spans="17:32" ht="19.5" customHeight="1">
      <c r="Q71" s="491"/>
      <c r="R71" s="491"/>
      <c r="S71" s="443"/>
      <c r="T71" s="585"/>
      <c r="U71" s="491"/>
      <c r="V71" s="491"/>
      <c r="W71" s="491"/>
      <c r="X71" s="534"/>
      <c r="Y71" s="491"/>
      <c r="Z71" s="535" t="s">
        <v>401</v>
      </c>
      <c r="AA71" s="588">
        <f>AA58*AA57</f>
        <v>36</v>
      </c>
      <c r="AB71" s="589" t="s">
        <v>402</v>
      </c>
      <c r="AC71" s="522">
        <f>AA58*AD57</f>
        <v>144</v>
      </c>
      <c r="AD71" s="491"/>
      <c r="AE71" s="491"/>
      <c r="AF71" s="416"/>
    </row>
    <row r="72" spans="17:32" ht="19.5" customHeight="1">
      <c r="Q72" s="491"/>
      <c r="R72" s="491"/>
      <c r="S72" s="615"/>
      <c r="T72" s="585"/>
      <c r="U72" s="491"/>
      <c r="V72" s="491"/>
      <c r="W72" s="491"/>
      <c r="X72" s="534"/>
      <c r="Y72" s="491"/>
      <c r="Z72" s="535" t="s">
        <v>403</v>
      </c>
      <c r="AA72" s="588">
        <f>2!D31</f>
        <v>44.651482572415546</v>
      </c>
      <c r="AB72" s="589" t="s">
        <v>404</v>
      </c>
      <c r="AC72" s="522">
        <f>2!E31</f>
        <v>150.9</v>
      </c>
      <c r="AD72" s="491"/>
      <c r="AE72" s="491"/>
      <c r="AF72" s="416"/>
    </row>
    <row r="73" spans="17:32" ht="19.5" customHeight="1">
      <c r="Q73" s="491"/>
      <c r="R73" s="491"/>
      <c r="S73" s="443"/>
      <c r="T73" s="585"/>
      <c r="U73" s="491"/>
      <c r="V73" s="491"/>
      <c r="W73" s="491"/>
      <c r="X73" s="534"/>
      <c r="Y73" s="491"/>
      <c r="Z73" s="535" t="s">
        <v>300</v>
      </c>
      <c r="AA73" s="588">
        <f>2!D30</f>
        <v>36</v>
      </c>
      <c r="AB73" s="589" t="s">
        <v>405</v>
      </c>
      <c r="AC73" s="522">
        <f>2!E30</f>
        <v>144</v>
      </c>
      <c r="AD73" s="491"/>
      <c r="AE73" s="491"/>
      <c r="AF73" s="416"/>
    </row>
    <row r="74" spans="17:32" ht="19.5" customHeight="1">
      <c r="Q74" s="491"/>
      <c r="R74" s="491"/>
      <c r="S74" s="615"/>
      <c r="T74" s="585"/>
      <c r="U74" s="491"/>
      <c r="V74" s="491"/>
      <c r="W74" s="491"/>
      <c r="X74" s="534"/>
      <c r="Y74" s="491"/>
      <c r="Z74" s="535" t="s">
        <v>406</v>
      </c>
      <c r="AA74" s="588">
        <f>2!D29</f>
        <v>0.49</v>
      </c>
      <c r="AB74" s="589" t="s">
        <v>407</v>
      </c>
      <c r="AC74" s="536">
        <f>2!E29</f>
        <v>0.19808623793074442</v>
      </c>
      <c r="AD74" s="491"/>
      <c r="AE74" s="491"/>
      <c r="AF74" s="416"/>
    </row>
    <row r="75" spans="17:32" ht="19.5" customHeight="1">
      <c r="Q75" s="491"/>
      <c r="R75" s="491"/>
      <c r="S75" s="443"/>
      <c r="T75" s="585"/>
      <c r="U75" s="491"/>
      <c r="V75" s="491"/>
      <c r="W75" s="491"/>
      <c r="X75" s="534"/>
      <c r="Y75" s="491"/>
      <c r="Z75" s="535" t="s">
        <v>408</v>
      </c>
      <c r="AA75" s="588">
        <f>1/AA57*(PI()/2+2*AA74*AC70)+AA77-AA78</f>
        <v>0.025159413941067188</v>
      </c>
      <c r="AB75" s="589" t="s">
        <v>409</v>
      </c>
      <c r="AC75" s="522">
        <f>1/AD57*(PI()/2+2*AC74*AC70)+AA77-AC78</f>
        <v>0.015555358182575599</v>
      </c>
      <c r="AD75" s="491"/>
      <c r="AE75" s="491"/>
      <c r="AF75" s="416"/>
    </row>
    <row r="76" spans="17:32" ht="19.5" customHeight="1">
      <c r="Q76" s="491"/>
      <c r="R76" s="491"/>
      <c r="S76" s="615"/>
      <c r="T76" s="585"/>
      <c r="U76" s="491"/>
      <c r="V76" s="491"/>
      <c r="W76" s="491"/>
      <c r="X76" s="534"/>
      <c r="Y76" s="491"/>
      <c r="Z76" s="491"/>
      <c r="AA76" s="585"/>
      <c r="AB76" s="585"/>
      <c r="AC76" s="491"/>
      <c r="AD76" s="491"/>
      <c r="AE76" s="491"/>
      <c r="AF76" s="416"/>
    </row>
    <row r="77" spans="17:32" ht="19.5" customHeight="1">
      <c r="Q77" s="491"/>
      <c r="R77" s="491"/>
      <c r="S77" s="615"/>
      <c r="T77" s="585"/>
      <c r="U77" s="491"/>
      <c r="V77" s="491"/>
      <c r="W77" s="491"/>
      <c r="X77" s="534"/>
      <c r="Y77" s="491"/>
      <c r="Z77" s="522" t="s">
        <v>410</v>
      </c>
      <c r="AA77" s="590">
        <f>AC70-(PI()*20/180)</f>
        <v>0.014904383867336446</v>
      </c>
      <c r="AB77" s="585"/>
      <c r="AC77" s="491"/>
      <c r="AD77" s="491"/>
      <c r="AE77" s="491"/>
      <c r="AF77" s="416"/>
    </row>
    <row r="78" spans="17:32" ht="19.5" customHeight="1">
      <c r="Q78" s="491"/>
      <c r="R78" s="491"/>
      <c r="S78" s="615"/>
      <c r="T78" s="443"/>
      <c r="U78" s="491"/>
      <c r="V78" s="491"/>
      <c r="W78" s="491"/>
      <c r="X78" s="534"/>
      <c r="Y78" s="491"/>
      <c r="Z78" s="522" t="s">
        <v>411</v>
      </c>
      <c r="AA78" s="590">
        <f>TAN(AA62)-AA62</f>
        <v>0.15036889962425048</v>
      </c>
      <c r="AB78" s="589" t="s">
        <v>412</v>
      </c>
      <c r="AC78" s="536">
        <f>TAN(AC62)-AC62</f>
        <v>0.03507801142734468</v>
      </c>
      <c r="AD78" s="491"/>
      <c r="AE78" s="491"/>
      <c r="AF78" s="416"/>
    </row>
    <row r="79" spans="17:32" ht="19.5" customHeight="1">
      <c r="Q79" s="491"/>
      <c r="R79" s="491"/>
      <c r="S79" s="615"/>
      <c r="T79" s="585"/>
      <c r="U79" s="491"/>
      <c r="V79" s="491"/>
      <c r="W79" s="491"/>
      <c r="X79" s="534"/>
      <c r="Y79" s="491"/>
      <c r="Z79" s="491"/>
      <c r="AA79" s="585"/>
      <c r="AB79" s="585"/>
      <c r="AC79" s="491"/>
      <c r="AD79" s="491"/>
      <c r="AE79" s="491"/>
      <c r="AF79" s="416"/>
    </row>
    <row r="80" spans="17:32" ht="19.5" customHeight="1">
      <c r="Q80" s="491"/>
      <c r="R80" s="491"/>
      <c r="S80" s="615"/>
      <c r="U80" s="491"/>
      <c r="V80" s="491"/>
      <c r="W80" s="491"/>
      <c r="X80" s="534"/>
      <c r="Y80" s="491"/>
      <c r="Z80" s="491"/>
      <c r="AA80" s="585"/>
      <c r="AB80" s="585"/>
      <c r="AC80" s="491"/>
      <c r="AD80" s="491"/>
      <c r="AE80" s="491"/>
      <c r="AF80" s="416"/>
    </row>
    <row r="81" spans="17:32" ht="19.5" customHeight="1">
      <c r="Q81" s="491"/>
      <c r="R81" s="491"/>
      <c r="S81" s="443"/>
      <c r="T81" s="585"/>
      <c r="U81" s="491"/>
      <c r="V81" s="491"/>
      <c r="W81" s="491"/>
      <c r="X81" s="534"/>
      <c r="Y81" s="491"/>
      <c r="Z81" s="491"/>
      <c r="AA81" s="585"/>
      <c r="AB81" s="585"/>
      <c r="AC81" s="491"/>
      <c r="AD81" s="491"/>
      <c r="AE81" s="491"/>
      <c r="AF81" s="416"/>
    </row>
    <row r="82" spans="17:32" ht="19.5" customHeight="1">
      <c r="Q82" s="491"/>
      <c r="R82" s="491"/>
      <c r="T82" s="640" t="str">
        <f>H22</f>
        <v>Yük dağılma faktörü</v>
      </c>
      <c r="U82" s="641"/>
      <c r="V82" s="642" t="s">
        <v>535</v>
      </c>
      <c r="W82" s="491"/>
      <c r="X82" s="534"/>
      <c r="AA82" s="585"/>
      <c r="AE82" s="491"/>
      <c r="AF82" s="416"/>
    </row>
    <row r="83" spans="17:32" ht="19.5" customHeight="1" thickBot="1">
      <c r="Q83" s="491"/>
      <c r="R83" s="491"/>
      <c r="S83" s="615"/>
      <c r="T83" s="585"/>
      <c r="U83" s="491"/>
      <c r="V83" s="491"/>
      <c r="W83" s="537" t="s">
        <v>414</v>
      </c>
      <c r="X83" s="634">
        <f>3!E7</f>
        <v>471944.44444444444</v>
      </c>
      <c r="Y83" s="535" t="s">
        <v>135</v>
      </c>
      <c r="Z83" s="522">
        <f>2!E9</f>
        <v>60</v>
      </c>
      <c r="AA83" s="585"/>
      <c r="AB83" s="585"/>
      <c r="AC83" s="491"/>
      <c r="AD83" s="491"/>
      <c r="AE83" s="491"/>
      <c r="AF83" s="416"/>
    </row>
    <row r="84" spans="17:32" ht="19.5" customHeight="1" thickBot="1">
      <c r="Q84" s="491"/>
      <c r="R84" s="491"/>
      <c r="S84" s="615"/>
      <c r="T84" s="585"/>
      <c r="U84" s="491"/>
      <c r="V84" s="491"/>
      <c r="W84" s="535" t="s">
        <v>413</v>
      </c>
      <c r="X84" s="635">
        <f>X83*AA94*AD94</f>
        <v>590043.3881454669</v>
      </c>
      <c r="Z84" s="519">
        <f>X84/Z83</f>
        <v>9834.056469091116</v>
      </c>
      <c r="AA84" s="585"/>
      <c r="AB84" s="585"/>
      <c r="AC84" s="603" t="s">
        <v>490</v>
      </c>
      <c r="AD84" s="521">
        <f>IF(Y86&gt;2,Y86,IF(Y90&lt;2,Y90,"?"))</f>
        <v>1.0321781048295486</v>
      </c>
      <c r="AE84" s="533"/>
      <c r="AF84" s="421"/>
    </row>
    <row r="85" spans="17:32" ht="19.5" customHeight="1">
      <c r="Q85" s="491"/>
      <c r="R85" s="491"/>
      <c r="S85" s="615"/>
      <c r="T85" s="588" t="s">
        <v>536</v>
      </c>
      <c r="U85" s="491"/>
      <c r="V85" s="491"/>
      <c r="W85" s="491"/>
      <c r="X85" s="534"/>
      <c r="Y85" s="535"/>
      <c r="Z85" s="522"/>
      <c r="AA85" s="585"/>
      <c r="AB85" s="585"/>
      <c r="AC85" s="491"/>
      <c r="AD85" s="491"/>
      <c r="AE85" s="533"/>
      <c r="AF85" s="421"/>
    </row>
    <row r="86" spans="17:32" ht="19.5" customHeight="1">
      <c r="Q86" s="491"/>
      <c r="R86" s="491"/>
      <c r="S86" s="615"/>
      <c r="T86" s="585"/>
      <c r="U86" s="491"/>
      <c r="X86" s="638" t="s">
        <v>539</v>
      </c>
      <c r="Y86" s="639">
        <f>2*(10*W89/(X84/Z83))^0.5</f>
        <v>0.3587651311348339</v>
      </c>
      <c r="AB86" s="585"/>
      <c r="AC86" s="1"/>
      <c r="AD86" s="491"/>
      <c r="AE86" s="533"/>
      <c r="AF86" s="421"/>
    </row>
    <row r="87" spans="17:32" ht="19.5" customHeight="1">
      <c r="Q87" s="491"/>
      <c r="R87" s="491"/>
      <c r="S87" s="615"/>
      <c r="T87" s="585"/>
      <c r="U87" s="491"/>
      <c r="V87" s="535"/>
      <c r="W87" s="522"/>
      <c r="X87" s="638"/>
      <c r="Y87" s="639"/>
      <c r="Z87" s="1"/>
      <c r="AA87" s="1"/>
      <c r="AB87" s="585"/>
      <c r="AC87" s="1"/>
      <c r="AD87" s="491"/>
      <c r="AE87" s="533"/>
      <c r="AF87" s="421"/>
    </row>
    <row r="88" spans="17:32" ht="19.5" customHeight="1">
      <c r="Q88" s="491"/>
      <c r="R88" s="491"/>
      <c r="S88" s="615"/>
      <c r="T88" s="585"/>
      <c r="U88" s="491"/>
      <c r="V88" s="491"/>
      <c r="Z88" s="1"/>
      <c r="AA88" s="1"/>
      <c r="AC88" s="1"/>
      <c r="AD88" s="491"/>
      <c r="AE88" s="533"/>
      <c r="AF88" s="421"/>
    </row>
    <row r="89" spans="17:32" ht="19.5" customHeight="1">
      <c r="Q89" s="491"/>
      <c r="R89" s="491"/>
      <c r="S89" s="615"/>
      <c r="T89" s="588" t="s">
        <v>537</v>
      </c>
      <c r="U89" s="491"/>
      <c r="V89" s="535" t="s">
        <v>526</v>
      </c>
      <c r="W89" s="522">
        <f>AB122</f>
        <v>31.644129996211483</v>
      </c>
      <c r="Z89" s="1"/>
      <c r="AA89" s="1"/>
      <c r="AB89" s="585"/>
      <c r="AC89" s="1"/>
      <c r="AD89" s="491"/>
      <c r="AE89" s="491"/>
      <c r="AF89" s="416"/>
    </row>
    <row r="90" spans="17:32" ht="19.5" customHeight="1">
      <c r="Q90" s="491"/>
      <c r="R90" s="491"/>
      <c r="T90" s="585"/>
      <c r="U90" s="245"/>
      <c r="V90" s="535"/>
      <c r="W90" s="522"/>
      <c r="X90" s="638" t="s">
        <v>538</v>
      </c>
      <c r="Y90" s="639">
        <f>1+10*W89/(X84/Z83)</f>
        <v>1.0321781048295486</v>
      </c>
      <c r="Z90" s="1"/>
      <c r="AA90" s="1"/>
      <c r="AC90" s="1"/>
      <c r="AD90" s="491"/>
      <c r="AE90" s="491"/>
      <c r="AF90" s="416"/>
    </row>
    <row r="91" spans="17:32" ht="19.5" customHeight="1">
      <c r="Q91" s="491"/>
      <c r="R91" s="491"/>
      <c r="S91" s="615"/>
      <c r="T91" s="585"/>
      <c r="U91" s="491"/>
      <c r="V91" s="535"/>
      <c r="W91" s="522"/>
      <c r="X91" s="638"/>
      <c r="Y91" s="639"/>
      <c r="Z91" s="1"/>
      <c r="AA91" s="1"/>
      <c r="AB91" s="585"/>
      <c r="AC91" s="1"/>
      <c r="AD91" s="491"/>
      <c r="AE91" s="491"/>
      <c r="AF91" s="416"/>
    </row>
    <row r="92" spans="17:32" ht="19.5" customHeight="1">
      <c r="Q92" s="491"/>
      <c r="R92" s="491"/>
      <c r="S92" s="615"/>
      <c r="T92" s="585"/>
      <c r="U92" s="491"/>
      <c r="V92" s="491"/>
      <c r="Z92" s="1"/>
      <c r="AA92" s="1"/>
      <c r="AB92" s="585"/>
      <c r="AC92" s="491"/>
      <c r="AD92" s="491"/>
      <c r="AE92" s="491"/>
      <c r="AF92" s="416"/>
    </row>
    <row r="93" spans="17:32" ht="19.5" customHeight="1" thickBot="1">
      <c r="Q93" s="491"/>
      <c r="R93" s="491"/>
      <c r="S93" s="615"/>
      <c r="T93" s="585"/>
      <c r="U93" s="491"/>
      <c r="V93" s="491"/>
      <c r="Y93" s="1"/>
      <c r="AB93" s="585"/>
      <c r="AC93" s="491"/>
      <c r="AD93" s="491"/>
      <c r="AE93" s="491"/>
      <c r="AF93" s="416"/>
    </row>
    <row r="94" spans="17:32" ht="19.5" customHeight="1" thickBot="1">
      <c r="Q94" s="491"/>
      <c r="R94" s="491"/>
      <c r="S94" s="615"/>
      <c r="T94" s="645" t="s">
        <v>507</v>
      </c>
      <c r="U94" s="491"/>
      <c r="V94" s="491"/>
      <c r="W94" s="491"/>
      <c r="X94" s="534"/>
      <c r="Z94" s="535" t="s">
        <v>415</v>
      </c>
      <c r="AA94" s="588">
        <f>5!O5</f>
        <v>1.25</v>
      </c>
      <c r="AB94" s="585"/>
      <c r="AC94" s="603" t="s">
        <v>293</v>
      </c>
      <c r="AD94" s="521">
        <f>IF(Y103&gt;1,AA100,AA97)</f>
        <v>1.0001912641900794</v>
      </c>
      <c r="AE94" s="491"/>
      <c r="AF94" s="416"/>
    </row>
    <row r="95" spans="17:32" ht="19.5" customHeight="1">
      <c r="Q95" s="491"/>
      <c r="R95" s="491"/>
      <c r="S95" s="615"/>
      <c r="U95" s="491"/>
      <c r="V95" s="491"/>
      <c r="W95" s="491"/>
      <c r="X95" s="534"/>
      <c r="Y95" s="491"/>
      <c r="Z95" s="491"/>
      <c r="AA95" s="585"/>
      <c r="AB95" s="585"/>
      <c r="AC95" s="491"/>
      <c r="AD95" s="491"/>
      <c r="AE95" s="491"/>
      <c r="AF95" s="416"/>
    </row>
    <row r="96" spans="17:32" ht="19.5" customHeight="1">
      <c r="Q96" s="491"/>
      <c r="R96" s="491"/>
      <c r="S96" s="585"/>
      <c r="T96" s="443"/>
      <c r="U96" s="491"/>
      <c r="V96" s="491"/>
      <c r="W96" s="491"/>
      <c r="X96" s="491"/>
      <c r="Y96" s="491"/>
      <c r="Z96" s="491"/>
      <c r="AA96" s="585"/>
      <c r="AB96" s="585"/>
      <c r="AC96" s="491"/>
      <c r="AD96" s="491"/>
      <c r="AE96" s="491"/>
      <c r="AF96" s="416"/>
    </row>
    <row r="97" spans="17:32" ht="19.5" customHeight="1">
      <c r="Q97" s="491"/>
      <c r="R97" s="491"/>
      <c r="T97" s="585"/>
      <c r="U97" s="491"/>
      <c r="V97" s="491"/>
      <c r="W97" s="491"/>
      <c r="X97" s="491"/>
      <c r="Y97" s="491"/>
      <c r="Z97" s="535" t="s">
        <v>416</v>
      </c>
      <c r="AA97" s="588">
        <f>1+(1.123*AA108/AA94/(X83/AC105)+0.0193)*AA103</f>
        <v>1.0001912641900794</v>
      </c>
      <c r="AB97" s="585"/>
      <c r="AC97" s="491"/>
      <c r="AD97" s="491"/>
      <c r="AE97" s="491"/>
      <c r="AF97" s="416"/>
    </row>
    <row r="98" spans="17:32" ht="19.5" customHeight="1">
      <c r="Q98" s="491"/>
      <c r="R98" s="491"/>
      <c r="S98" s="585"/>
      <c r="T98" s="645" t="s">
        <v>508</v>
      </c>
      <c r="U98" s="491"/>
      <c r="V98" s="491"/>
      <c r="W98" s="491"/>
      <c r="X98" s="491"/>
      <c r="Y98" s="491"/>
      <c r="Z98" s="491"/>
      <c r="AA98" s="588"/>
      <c r="AB98" s="585"/>
      <c r="AC98" s="491"/>
      <c r="AD98" s="491"/>
      <c r="AE98" s="491"/>
      <c r="AF98" s="416"/>
    </row>
    <row r="99" spans="17:32" ht="19.5" customHeight="1">
      <c r="Q99" s="491"/>
      <c r="R99" s="491"/>
      <c r="S99" s="585"/>
      <c r="T99" s="585"/>
      <c r="U99" s="491"/>
      <c r="V99" s="491"/>
      <c r="W99" s="491"/>
      <c r="X99" s="491"/>
      <c r="Y99" s="491"/>
      <c r="Z99" s="491"/>
      <c r="AA99" s="588"/>
      <c r="AB99" s="585"/>
      <c r="AC99" s="491"/>
      <c r="AD99" s="491"/>
      <c r="AE99" s="491"/>
      <c r="AF99" s="416"/>
    </row>
    <row r="100" spans="17:32" ht="19.5" customHeight="1">
      <c r="Q100" s="491"/>
      <c r="R100" s="491"/>
      <c r="T100" s="443"/>
      <c r="U100" s="491"/>
      <c r="V100" s="491"/>
      <c r="W100" s="491"/>
      <c r="X100" s="491"/>
      <c r="Y100" s="491"/>
      <c r="Z100" s="535" t="s">
        <v>417</v>
      </c>
      <c r="AA100" s="588">
        <f>1+(1.123*AA108/AA94/(X83/AC105)+0.0087)*AA103</f>
        <v>1.0000982211790705</v>
      </c>
      <c r="AB100" s="585"/>
      <c r="AC100" s="491"/>
      <c r="AD100" s="491"/>
      <c r="AE100" s="491"/>
      <c r="AF100" s="416"/>
    </row>
    <row r="101" spans="17:32" ht="19.5" customHeight="1">
      <c r="Q101" s="491"/>
      <c r="R101" s="491"/>
      <c r="S101" s="585"/>
      <c r="T101" s="585"/>
      <c r="U101" s="491"/>
      <c r="V101" s="491"/>
      <c r="W101" s="491"/>
      <c r="X101" s="491"/>
      <c r="Y101" s="491"/>
      <c r="Z101" s="491"/>
      <c r="AA101" s="588"/>
      <c r="AB101" s="585"/>
      <c r="AC101" s="491"/>
      <c r="AD101" s="491"/>
      <c r="AE101" s="491"/>
      <c r="AF101" s="416"/>
    </row>
    <row r="102" spans="17:32" ht="19.5" customHeight="1">
      <c r="Q102" s="491"/>
      <c r="R102" s="491"/>
      <c r="S102" s="585"/>
      <c r="T102" s="585"/>
      <c r="U102" s="491"/>
      <c r="V102" s="491"/>
      <c r="W102" s="491"/>
      <c r="X102" s="491"/>
      <c r="Y102" s="491"/>
      <c r="Z102" s="491"/>
      <c r="AA102" s="588"/>
      <c r="AB102" s="585"/>
      <c r="AC102" s="491"/>
      <c r="AD102" s="491"/>
      <c r="AE102" s="491"/>
      <c r="AF102" s="416"/>
    </row>
    <row r="103" spans="17:32" ht="19.5" customHeight="1">
      <c r="Q103" s="491"/>
      <c r="R103" s="491"/>
      <c r="S103" s="585"/>
      <c r="T103" s="443"/>
      <c r="U103" s="491"/>
      <c r="V103" s="491"/>
      <c r="W103" s="491"/>
      <c r="X103" s="583" t="s">
        <v>505</v>
      </c>
      <c r="Y103" s="522">
        <f>2!D10</f>
        <v>0</v>
      </c>
      <c r="Z103" s="535" t="s">
        <v>418</v>
      </c>
      <c r="AA103" s="588">
        <f>0.01*U105*Y105*(AA105^2/(1+AA105^2))^0.5</f>
        <v>0.00877764254800841</v>
      </c>
      <c r="AB103" s="585"/>
      <c r="AC103" s="491"/>
      <c r="AD103" s="491"/>
      <c r="AE103" s="491"/>
      <c r="AF103" s="416"/>
    </row>
    <row r="104" spans="17:32" ht="19.5" customHeight="1">
      <c r="Q104" s="491"/>
      <c r="R104" s="491"/>
      <c r="S104" s="585"/>
      <c r="T104" s="585"/>
      <c r="U104" s="491"/>
      <c r="V104" s="491"/>
      <c r="W104" s="491"/>
      <c r="X104" s="491"/>
      <c r="Y104" s="491"/>
      <c r="Z104" s="491"/>
      <c r="AA104" s="585"/>
      <c r="AB104" s="585"/>
      <c r="AC104" s="491"/>
      <c r="AD104" s="491"/>
      <c r="AE104" s="491"/>
      <c r="AF104" s="416"/>
    </row>
    <row r="105" spans="17:32" ht="19.5" customHeight="1">
      <c r="Q105" s="491"/>
      <c r="R105" s="491"/>
      <c r="S105" s="585"/>
      <c r="T105" s="538" t="s">
        <v>419</v>
      </c>
      <c r="U105" s="539">
        <f>2!D6</f>
        <v>12</v>
      </c>
      <c r="V105" s="538" t="s">
        <v>420</v>
      </c>
      <c r="W105" s="539">
        <f>2!E6</f>
        <v>48</v>
      </c>
      <c r="X105" s="538" t="s">
        <v>421</v>
      </c>
      <c r="Y105" s="522">
        <f>W356</f>
        <v>0.07539822368615504</v>
      </c>
      <c r="Z105" s="535" t="s">
        <v>134</v>
      </c>
      <c r="AA105" s="522">
        <f>3!K10</f>
        <v>4</v>
      </c>
      <c r="AB105" s="535" t="s">
        <v>135</v>
      </c>
      <c r="AC105" s="522">
        <f>2!E9</f>
        <v>60</v>
      </c>
      <c r="AD105" s="535"/>
      <c r="AE105" s="491"/>
      <c r="AF105" s="416"/>
    </row>
    <row r="106" spans="17:32" ht="19.5" customHeight="1">
      <c r="Q106" s="491"/>
      <c r="R106" s="491"/>
      <c r="S106" s="585"/>
      <c r="T106" s="585"/>
      <c r="U106" s="491"/>
      <c r="V106" s="491"/>
      <c r="W106" s="122"/>
      <c r="X106" s="122"/>
      <c r="Y106" s="491"/>
      <c r="Z106" s="491"/>
      <c r="AA106" s="585"/>
      <c r="AB106" s="585"/>
      <c r="AC106" s="491"/>
      <c r="AD106" s="535"/>
      <c r="AE106" s="491"/>
      <c r="AF106" s="416"/>
    </row>
    <row r="107" spans="17:32" ht="19.5" customHeight="1">
      <c r="Q107" s="491"/>
      <c r="R107" s="491"/>
      <c r="S107" s="585"/>
      <c r="T107" s="585"/>
      <c r="U107" s="491"/>
      <c r="V107" s="491"/>
      <c r="W107" s="122"/>
      <c r="X107" s="122"/>
      <c r="Y107" s="122"/>
      <c r="Z107" s="122"/>
      <c r="AA107" s="122"/>
      <c r="AB107" s="585"/>
      <c r="AC107" s="491"/>
      <c r="AD107" s="491"/>
      <c r="AE107" s="491"/>
      <c r="AF107" s="416"/>
    </row>
    <row r="108" spans="17:32" ht="19.5" customHeight="1">
      <c r="Q108" s="491"/>
      <c r="R108" s="491"/>
      <c r="S108" s="585"/>
      <c r="T108" s="585"/>
      <c r="U108" s="491"/>
      <c r="V108" s="491"/>
      <c r="W108" s="535" t="s">
        <v>3</v>
      </c>
      <c r="X108" s="539">
        <f>1!F20</f>
        <v>8</v>
      </c>
      <c r="Y108" s="491"/>
      <c r="Z108" s="535" t="s">
        <v>422</v>
      </c>
      <c r="AA108" s="588">
        <f>IF(X108&lt;6.5,V110,IF(X108&lt;7.5,W110,IF(X108&lt;8.5,X110,IF(X108&lt;9.5,Y110,IF(X108&lt;10.5,Z110,IF(X108&lt;11.5,AA110,AB110))))))</f>
        <v>21.8</v>
      </c>
      <c r="AB108" s="585"/>
      <c r="AC108" s="491"/>
      <c r="AD108" s="491"/>
      <c r="AE108" s="491"/>
      <c r="AF108" s="416"/>
    </row>
    <row r="109" spans="17:32" ht="19.5" customHeight="1">
      <c r="Q109" s="491"/>
      <c r="R109" s="491"/>
      <c r="S109" s="585"/>
      <c r="T109" s="651" t="s">
        <v>218</v>
      </c>
      <c r="U109" s="651"/>
      <c r="V109" s="507">
        <v>6</v>
      </c>
      <c r="W109" s="507">
        <v>7</v>
      </c>
      <c r="X109" s="507">
        <v>8</v>
      </c>
      <c r="Y109" s="507">
        <v>9</v>
      </c>
      <c r="Z109" s="507">
        <v>10</v>
      </c>
      <c r="AA109" s="526">
        <v>11</v>
      </c>
      <c r="AB109" s="528">
        <v>12</v>
      </c>
      <c r="AC109" s="491"/>
      <c r="AD109" s="491"/>
      <c r="AE109" s="491"/>
      <c r="AF109" s="416"/>
    </row>
    <row r="110" spans="17:32" ht="19.5" customHeight="1">
      <c r="Q110" s="491"/>
      <c r="R110" s="491"/>
      <c r="S110" s="585"/>
      <c r="T110" s="651" t="s">
        <v>423</v>
      </c>
      <c r="U110" s="651"/>
      <c r="V110" s="507">
        <v>8.5</v>
      </c>
      <c r="W110" s="507">
        <v>13.6</v>
      </c>
      <c r="X110" s="507">
        <v>21.8</v>
      </c>
      <c r="Y110" s="507">
        <v>30.7</v>
      </c>
      <c r="Z110" s="507">
        <v>47.7</v>
      </c>
      <c r="AA110" s="526">
        <v>68.2</v>
      </c>
      <c r="AB110" s="528">
        <v>109.1</v>
      </c>
      <c r="AC110" s="491"/>
      <c r="AD110" s="491"/>
      <c r="AE110" s="491"/>
      <c r="AF110" s="416"/>
    </row>
    <row r="111" spans="17:32" ht="19.5" customHeight="1">
      <c r="Q111" s="491"/>
      <c r="R111" s="491"/>
      <c r="S111" s="585"/>
      <c r="T111" s="585"/>
      <c r="U111" s="491"/>
      <c r="V111" s="491"/>
      <c r="W111" s="491"/>
      <c r="X111" s="491"/>
      <c r="Y111" s="491"/>
      <c r="Z111" s="491"/>
      <c r="AA111" s="585"/>
      <c r="AB111" s="585"/>
      <c r="AC111" s="491"/>
      <c r="AD111" s="491"/>
      <c r="AE111" s="491"/>
      <c r="AF111" s="416"/>
    </row>
    <row r="112" spans="17:32" ht="19.5" customHeight="1">
      <c r="Q112" s="491"/>
      <c r="R112" s="491"/>
      <c r="S112" s="585"/>
      <c r="T112" s="585"/>
      <c r="U112" s="491"/>
      <c r="V112" s="491"/>
      <c r="W112" s="535" t="s">
        <v>3</v>
      </c>
      <c r="X112" s="539">
        <f>1!F20</f>
        <v>8</v>
      </c>
      <c r="Y112" s="122"/>
      <c r="Z112" s="535" t="s">
        <v>428</v>
      </c>
      <c r="AA112" s="588">
        <f>IF(X112&lt;5.5,V114,IF(X112&lt;6.5,W114,IF(X112&lt;7.5,X114,IF(X112&lt;8.5,Y114,IF(X112&lt;9.5,Z114,IF(X112&lt;10.5,AA114,IF(X112&lt;11.5,AB114,AC114)))))))</f>
        <v>2.59</v>
      </c>
      <c r="AD112" s="491"/>
      <c r="AE112" s="491"/>
      <c r="AF112" s="416"/>
    </row>
    <row r="113" spans="17:32" ht="19.5" customHeight="1">
      <c r="Q113" s="491"/>
      <c r="R113" s="491"/>
      <c r="S113" s="585"/>
      <c r="T113" s="685" t="s">
        <v>218</v>
      </c>
      <c r="U113" s="687"/>
      <c r="V113" s="507">
        <v>5</v>
      </c>
      <c r="W113" s="507">
        <v>6</v>
      </c>
      <c r="X113" s="507">
        <v>7</v>
      </c>
      <c r="Y113" s="507">
        <v>8</v>
      </c>
      <c r="Z113" s="507">
        <v>9</v>
      </c>
      <c r="AA113" s="526">
        <v>10</v>
      </c>
      <c r="AB113" s="528">
        <v>11</v>
      </c>
      <c r="AC113" s="507">
        <v>12</v>
      </c>
      <c r="AD113" s="491"/>
      <c r="AE113" s="491"/>
      <c r="AF113" s="416"/>
    </row>
    <row r="114" spans="17:32" ht="19.5" customHeight="1">
      <c r="Q114" s="491"/>
      <c r="R114" s="491"/>
      <c r="S114" s="585"/>
      <c r="T114" s="685" t="s">
        <v>429</v>
      </c>
      <c r="U114" s="687"/>
      <c r="V114" s="540">
        <v>1</v>
      </c>
      <c r="W114" s="507">
        <v>1.32</v>
      </c>
      <c r="X114" s="507">
        <v>1.85</v>
      </c>
      <c r="Y114" s="507">
        <v>2.59</v>
      </c>
      <c r="Z114" s="507">
        <v>4.01</v>
      </c>
      <c r="AA114" s="526">
        <v>6.22</v>
      </c>
      <c r="AB114" s="528">
        <v>9.63</v>
      </c>
      <c r="AC114" s="507">
        <v>14.9</v>
      </c>
      <c r="AD114" s="491"/>
      <c r="AE114" s="491"/>
      <c r="AF114" s="416"/>
    </row>
    <row r="115" spans="17:32" ht="19.5" customHeight="1">
      <c r="Q115" s="491"/>
      <c r="R115" s="491"/>
      <c r="S115" s="585"/>
      <c r="W115" s="491"/>
      <c r="X115" s="491"/>
      <c r="Y115" s="491"/>
      <c r="AB115" s="585"/>
      <c r="AC115" s="491"/>
      <c r="AD115" s="491"/>
      <c r="AE115" s="491"/>
      <c r="AF115" s="416"/>
    </row>
    <row r="116" spans="17:32" ht="19.5" customHeight="1">
      <c r="Q116" s="491"/>
      <c r="R116" s="491"/>
      <c r="S116" s="585"/>
      <c r="W116" s="491"/>
      <c r="X116" s="491"/>
      <c r="Y116" s="491"/>
      <c r="AB116" s="585"/>
      <c r="AC116" s="491"/>
      <c r="AD116" s="491"/>
      <c r="AE116" s="491"/>
      <c r="AF116" s="416"/>
    </row>
    <row r="117" spans="17:32" ht="19.5" customHeight="1">
      <c r="Q117" s="491"/>
      <c r="R117" s="491"/>
      <c r="S117" s="585"/>
      <c r="W117" s="491"/>
      <c r="X117" s="491"/>
      <c r="Y117" s="491"/>
      <c r="AB117" s="585"/>
      <c r="AC117" s="491"/>
      <c r="AD117" s="491"/>
      <c r="AE117" s="491"/>
      <c r="AF117" s="416"/>
    </row>
    <row r="118" spans="17:32" ht="19.5" customHeight="1">
      <c r="Q118" s="491"/>
      <c r="R118" s="491"/>
      <c r="S118" s="585"/>
      <c r="W118" s="491"/>
      <c r="X118" s="491"/>
      <c r="Y118" s="491"/>
      <c r="AB118" s="585"/>
      <c r="AC118" s="491"/>
      <c r="AD118" s="491"/>
      <c r="AE118" s="491"/>
      <c r="AF118" s="416"/>
    </row>
    <row r="119" spans="17:32" ht="19.5" customHeight="1">
      <c r="Q119" s="491"/>
      <c r="R119" s="491"/>
      <c r="S119" s="585"/>
      <c r="W119" s="491"/>
      <c r="X119" s="491"/>
      <c r="Y119" s="491"/>
      <c r="AB119" s="585"/>
      <c r="AC119" s="491"/>
      <c r="AD119" s="491"/>
      <c r="AE119" s="491"/>
      <c r="AF119" s="416"/>
    </row>
    <row r="120" spans="17:32" ht="19.5" customHeight="1">
      <c r="Q120" s="491"/>
      <c r="R120" s="491"/>
      <c r="S120" s="585"/>
      <c r="T120" s="589" t="s">
        <v>426</v>
      </c>
      <c r="U120" s="491" t="s">
        <v>427</v>
      </c>
      <c r="V120" s="491"/>
      <c r="W120" s="589" t="s">
        <v>135</v>
      </c>
      <c r="X120" s="522">
        <f>AC105</f>
        <v>60</v>
      </c>
      <c r="Y120" s="491"/>
      <c r="AA120" s="535" t="s">
        <v>426</v>
      </c>
      <c r="AB120" s="588">
        <f>4.16*AC105^0.14*AA112</f>
        <v>19.113238090083648</v>
      </c>
      <c r="AC120" s="491"/>
      <c r="AD120" s="491"/>
      <c r="AE120" s="491"/>
      <c r="AF120" s="416"/>
    </row>
    <row r="121" spans="17:32" ht="19.5" customHeight="1">
      <c r="Q121" s="491"/>
      <c r="R121" s="491"/>
      <c r="S121" s="585"/>
      <c r="T121" s="589" t="s">
        <v>528</v>
      </c>
      <c r="U121" s="491" t="s">
        <v>425</v>
      </c>
      <c r="V121" s="491"/>
      <c r="W121" s="535" t="s">
        <v>431</v>
      </c>
      <c r="X121" s="588">
        <f>IF(Y123&lt;200,AD127,IF(Y123&lt;1000,AD129,AD131))</f>
        <v>18</v>
      </c>
      <c r="Y121" s="491"/>
      <c r="AA121" s="589" t="s">
        <v>528</v>
      </c>
      <c r="AB121" s="588">
        <f>AB120+1.33*X121</f>
        <v>43.05323809008365</v>
      </c>
      <c r="AC121" s="491"/>
      <c r="AD121" s="491"/>
      <c r="AE121" s="491"/>
      <c r="AF121" s="416"/>
    </row>
    <row r="122" spans="17:32" ht="19.5" customHeight="1">
      <c r="Q122" s="491"/>
      <c r="R122" s="491"/>
      <c r="S122" s="585"/>
      <c r="T122" s="589" t="s">
        <v>527</v>
      </c>
      <c r="U122" s="522" t="s">
        <v>424</v>
      </c>
      <c r="V122" s="542"/>
      <c r="W122" s="636" t="s">
        <v>529</v>
      </c>
      <c r="X122" s="637">
        <f>AE136</f>
        <v>11.409108093872169</v>
      </c>
      <c r="Y122" s="636" t="s">
        <v>530</v>
      </c>
      <c r="Z122" s="637">
        <f>AE137</f>
        <v>11.409108093872169</v>
      </c>
      <c r="AA122" s="535" t="s">
        <v>527</v>
      </c>
      <c r="AB122" s="588">
        <f>AB121-AE136</f>
        <v>31.644129996211483</v>
      </c>
      <c r="AC122" s="535"/>
      <c r="AD122" s="588"/>
      <c r="AE122" s="491"/>
      <c r="AF122" s="416"/>
    </row>
    <row r="123" spans="17:32" ht="19.5" customHeight="1">
      <c r="Q123" s="491"/>
      <c r="R123" s="491"/>
      <c r="S123" s="585"/>
      <c r="T123" s="535" t="s">
        <v>531</v>
      </c>
      <c r="U123" s="491" t="s">
        <v>532</v>
      </c>
      <c r="V123" s="491"/>
      <c r="X123" s="535" t="s">
        <v>430</v>
      </c>
      <c r="Y123" s="539">
        <f>X83/AC105</f>
        <v>7865.740740740741</v>
      </c>
      <c r="Z123" s="589" t="s">
        <v>135</v>
      </c>
      <c r="AA123" s="522">
        <f>X120</f>
        <v>60</v>
      </c>
      <c r="AB123" s="585"/>
      <c r="AC123" s="491"/>
      <c r="AD123" s="491"/>
      <c r="AE123" s="491"/>
      <c r="AF123" s="416"/>
    </row>
    <row r="124" spans="17:32" ht="19.5" customHeight="1">
      <c r="Q124" s="491"/>
      <c r="R124" s="491"/>
      <c r="S124" s="585"/>
      <c r="T124" s="688"/>
      <c r="U124" s="689"/>
      <c r="V124" s="690"/>
      <c r="W124" s="685" t="s">
        <v>432</v>
      </c>
      <c r="X124" s="686"/>
      <c r="Y124" s="686"/>
      <c r="Z124" s="686"/>
      <c r="AA124" s="686"/>
      <c r="AB124" s="686"/>
      <c r="AC124" s="687"/>
      <c r="AD124" s="491"/>
      <c r="AE124" s="491"/>
      <c r="AF124" s="416"/>
    </row>
    <row r="125" spans="17:32" ht="15" customHeight="1">
      <c r="Q125" s="491"/>
      <c r="R125" s="491"/>
      <c r="S125" s="585"/>
      <c r="T125" s="691"/>
      <c r="U125" s="692"/>
      <c r="V125" s="693"/>
      <c r="W125" s="651" t="s">
        <v>219</v>
      </c>
      <c r="X125" s="529" t="s">
        <v>220</v>
      </c>
      <c r="Y125" s="529" t="s">
        <v>222</v>
      </c>
      <c r="Z125" s="529" t="s">
        <v>224</v>
      </c>
      <c r="AA125" s="529" t="s">
        <v>226</v>
      </c>
      <c r="AB125" s="529" t="s">
        <v>228</v>
      </c>
      <c r="AC125" s="529" t="s">
        <v>230</v>
      </c>
      <c r="AD125" s="491"/>
      <c r="AE125" s="491"/>
      <c r="AF125" s="416"/>
    </row>
    <row r="126" spans="17:32" ht="15" customHeight="1">
      <c r="Q126" s="491"/>
      <c r="R126" s="491"/>
      <c r="S126" s="585"/>
      <c r="T126" s="691"/>
      <c r="U126" s="692"/>
      <c r="V126" s="693"/>
      <c r="W126" s="651"/>
      <c r="X126" s="543" t="s">
        <v>221</v>
      </c>
      <c r="Y126" s="543" t="s">
        <v>223</v>
      </c>
      <c r="Z126" s="543" t="s">
        <v>225</v>
      </c>
      <c r="AA126" s="543" t="s">
        <v>227</v>
      </c>
      <c r="AB126" s="543" t="s">
        <v>229</v>
      </c>
      <c r="AC126" s="543"/>
      <c r="AD126" s="491"/>
      <c r="AE126" s="491"/>
      <c r="AF126" s="416"/>
    </row>
    <row r="127" spans="17:32" ht="15" customHeight="1">
      <c r="Q127" s="491"/>
      <c r="R127" s="491"/>
      <c r="S127" s="585"/>
      <c r="T127" s="682" t="s">
        <v>232</v>
      </c>
      <c r="U127" s="683"/>
      <c r="V127" s="684"/>
      <c r="W127" s="655">
        <v>5</v>
      </c>
      <c r="X127" s="655" t="s">
        <v>231</v>
      </c>
      <c r="Y127" s="655">
        <v>7</v>
      </c>
      <c r="Z127" s="655">
        <v>8</v>
      </c>
      <c r="AA127" s="655">
        <v>10</v>
      </c>
      <c r="AB127" s="655">
        <v>12</v>
      </c>
      <c r="AC127" s="655">
        <v>16</v>
      </c>
      <c r="AD127" s="730">
        <f>IF($X$120&lt;20.1,W127,IF($X$120&lt;40.5,X127,IF($X$120&lt;100.5,Y127,IF($X$120&lt;260.5,Z127,IF($X$120&lt;315.5,AA127,IF($X$120&lt;560.5,AB127,AC127))))))</f>
        <v>7</v>
      </c>
      <c r="AE127" s="491"/>
      <c r="AF127" s="416"/>
    </row>
    <row r="128" spans="17:32" ht="15" customHeight="1">
      <c r="Q128" s="491"/>
      <c r="R128" s="491"/>
      <c r="S128" s="585"/>
      <c r="T128" s="682"/>
      <c r="U128" s="683"/>
      <c r="V128" s="684"/>
      <c r="W128" s="656"/>
      <c r="X128" s="656"/>
      <c r="Y128" s="656"/>
      <c r="Z128" s="656"/>
      <c r="AA128" s="656"/>
      <c r="AB128" s="656"/>
      <c r="AC128" s="656"/>
      <c r="AD128" s="730"/>
      <c r="AE128" s="491"/>
      <c r="AF128" s="416"/>
    </row>
    <row r="129" spans="17:32" ht="15" customHeight="1">
      <c r="Q129" s="491"/>
      <c r="R129" s="491"/>
      <c r="S129" s="585"/>
      <c r="T129" s="682" t="s">
        <v>233</v>
      </c>
      <c r="U129" s="683"/>
      <c r="V129" s="684"/>
      <c r="W129" s="655">
        <v>6</v>
      </c>
      <c r="X129" s="655">
        <v>7</v>
      </c>
      <c r="Y129" s="655">
        <v>8</v>
      </c>
      <c r="Z129" s="655">
        <v>11</v>
      </c>
      <c r="AA129" s="655">
        <v>14</v>
      </c>
      <c r="AB129" s="655">
        <v>18</v>
      </c>
      <c r="AC129" s="655">
        <v>24</v>
      </c>
      <c r="AD129" s="730">
        <f>IF($X$120&lt;20.1,W129,IF($X$120&lt;40.5,X129,IF($X$120&lt;100.5,Y129,IF($X$120&lt;260.5,Z129,IF($X$120&lt;315.5,AA129,IF($X$120&lt;560.5,AB129,AC129))))))</f>
        <v>8</v>
      </c>
      <c r="AE129" s="491"/>
      <c r="AF129" s="416"/>
    </row>
    <row r="130" spans="17:32" ht="15" customHeight="1">
      <c r="Q130" s="491"/>
      <c r="R130" s="491"/>
      <c r="S130" s="585"/>
      <c r="T130" s="682"/>
      <c r="U130" s="683"/>
      <c r="V130" s="684"/>
      <c r="W130" s="656"/>
      <c r="X130" s="656"/>
      <c r="Y130" s="656"/>
      <c r="Z130" s="656"/>
      <c r="AA130" s="656"/>
      <c r="AB130" s="656"/>
      <c r="AC130" s="656"/>
      <c r="AD130" s="730"/>
      <c r="AE130" s="491"/>
      <c r="AF130" s="416"/>
    </row>
    <row r="131" spans="17:32" ht="15" customHeight="1">
      <c r="Q131" s="491"/>
      <c r="R131" s="491"/>
      <c r="S131" s="585"/>
      <c r="T131" s="682" t="s">
        <v>234</v>
      </c>
      <c r="U131" s="683"/>
      <c r="V131" s="684"/>
      <c r="W131" s="655">
        <v>10</v>
      </c>
      <c r="X131" s="655">
        <v>13</v>
      </c>
      <c r="Y131" s="655">
        <v>18</v>
      </c>
      <c r="Z131" s="655">
        <v>25</v>
      </c>
      <c r="AA131" s="655">
        <v>30</v>
      </c>
      <c r="AB131" s="655">
        <v>38</v>
      </c>
      <c r="AC131" s="655">
        <v>50</v>
      </c>
      <c r="AD131" s="730">
        <f>IF($X$120&lt;20.1,W131,IF($X$120&lt;40.5,X131,IF($X$120&lt;100.5,Y131,IF($X$120&lt;260.5,Z131,IF($X$120&lt;315.5,AA131,IF($X$120&lt;560.5,AB131,AC131))))))</f>
        <v>18</v>
      </c>
      <c r="AE131" s="491"/>
      <c r="AF131" s="416"/>
    </row>
    <row r="132" spans="17:32" ht="15" customHeight="1">
      <c r="Q132" s="491"/>
      <c r="R132" s="491"/>
      <c r="S132" s="585"/>
      <c r="T132" s="682"/>
      <c r="U132" s="683"/>
      <c r="V132" s="684"/>
      <c r="W132" s="656"/>
      <c r="X132" s="656"/>
      <c r="Y132" s="656"/>
      <c r="Z132" s="656"/>
      <c r="AA132" s="656"/>
      <c r="AB132" s="656"/>
      <c r="AC132" s="656"/>
      <c r="AD132" s="730"/>
      <c r="AE132" s="491"/>
      <c r="AF132" s="416"/>
    </row>
    <row r="133" spans="17:32" ht="19.5" customHeight="1">
      <c r="Q133" s="491"/>
      <c r="R133" s="491"/>
      <c r="S133" s="585"/>
      <c r="T133" s="585"/>
      <c r="U133" s="491"/>
      <c r="X133" s="491"/>
      <c r="Y133" s="491"/>
      <c r="Z133" s="491"/>
      <c r="AA133" s="585"/>
      <c r="AB133" s="585"/>
      <c r="AE133" s="491"/>
      <c r="AF133" s="416"/>
    </row>
    <row r="134" spans="17:32" ht="19.5" customHeight="1">
      <c r="Q134" s="491"/>
      <c r="R134" s="491"/>
      <c r="T134" s="731" t="s">
        <v>437</v>
      </c>
      <c r="U134" s="731" t="s">
        <v>438</v>
      </c>
      <c r="V134" s="734"/>
      <c r="W134" s="685" t="s">
        <v>439</v>
      </c>
      <c r="X134" s="686"/>
      <c r="Y134" s="687"/>
      <c r="Z134" s="122"/>
      <c r="AA134" s="628" t="s">
        <v>433</v>
      </c>
      <c r="AB134" s="539">
        <f>1!L26</f>
        <v>1100</v>
      </c>
      <c r="AC134" s="628" t="s">
        <v>435</v>
      </c>
      <c r="AD134" s="539">
        <f>1!L27</f>
        <v>1100</v>
      </c>
      <c r="AE134" s="491"/>
      <c r="AF134" s="416"/>
    </row>
    <row r="135" spans="17:32" ht="19.5" customHeight="1">
      <c r="Q135" s="491"/>
      <c r="R135" s="491"/>
      <c r="T135" s="732"/>
      <c r="U135" s="732"/>
      <c r="V135" s="735"/>
      <c r="W135" s="507" t="s">
        <v>533</v>
      </c>
      <c r="X135" s="507" t="s">
        <v>518</v>
      </c>
      <c r="Y135" s="507" t="s">
        <v>534</v>
      </c>
      <c r="Z135" s="505" t="s">
        <v>440</v>
      </c>
      <c r="AA135" s="535" t="s">
        <v>127</v>
      </c>
      <c r="AB135" s="588">
        <f>Y105</f>
        <v>0.07539822368615504</v>
      </c>
      <c r="AC135" s="505"/>
      <c r="AD135" s="491"/>
      <c r="AE135" s="491"/>
      <c r="AF135" s="416"/>
    </row>
    <row r="136" spans="17:32" ht="19.5" customHeight="1">
      <c r="Q136" s="491"/>
      <c r="R136" s="491"/>
      <c r="T136" s="617">
        <v>400</v>
      </c>
      <c r="U136" s="685" t="s">
        <v>511</v>
      </c>
      <c r="V136" s="687"/>
      <c r="W136" s="507">
        <v>64</v>
      </c>
      <c r="X136" s="507">
        <v>32</v>
      </c>
      <c r="Y136" s="507">
        <v>20</v>
      </c>
      <c r="Z136" s="505">
        <f>AB121</f>
        <v>43.05323809008365</v>
      </c>
      <c r="AA136" s="504">
        <f>0.8*$Z$136</f>
        <v>34.442590472066925</v>
      </c>
      <c r="AB136" s="591">
        <f>0.8*$Z$136</f>
        <v>34.442590472066925</v>
      </c>
      <c r="AC136" s="592">
        <f>0.8*$Z$136</f>
        <v>34.442590472066925</v>
      </c>
      <c r="AD136" s="532" t="s">
        <v>434</v>
      </c>
      <c r="AE136" s="533">
        <f>IF($AB$135&lt;5,T144,IF($AB$135&lt;10,U144,V144))</f>
        <v>11.409108093872169</v>
      </c>
      <c r="AF136" s="416"/>
    </row>
    <row r="137" spans="17:32" ht="19.5" customHeight="1">
      <c r="Q137" s="491"/>
      <c r="R137" s="491"/>
      <c r="T137" s="617">
        <v>500</v>
      </c>
      <c r="U137" s="685" t="s">
        <v>512</v>
      </c>
      <c r="V137" s="687"/>
      <c r="W137" s="507">
        <v>64</v>
      </c>
      <c r="X137" s="507">
        <v>45</v>
      </c>
      <c r="Y137" s="507">
        <v>22</v>
      </c>
      <c r="Z137" s="505">
        <f aca="true" t="shared" si="1" ref="Z137:Z142">Z136</f>
        <v>43.05323809008365</v>
      </c>
      <c r="AA137" s="504">
        <f>0.55*$Z$137</f>
        <v>23.679280949546012</v>
      </c>
      <c r="AB137" s="591">
        <f>0.55*$Z$137</f>
        <v>23.679280949546012</v>
      </c>
      <c r="AC137" s="592">
        <f>0.55*$Z$137</f>
        <v>23.679280949546012</v>
      </c>
      <c r="AD137" s="532" t="s">
        <v>436</v>
      </c>
      <c r="AE137" s="533">
        <f>IF($AB$135&lt;5,T145,IF($AB$135&lt;10,U145,V145))</f>
        <v>11.409108093872169</v>
      </c>
      <c r="AF137" s="416"/>
    </row>
    <row r="138" spans="17:32" ht="19.5" customHeight="1">
      <c r="Q138" s="491"/>
      <c r="R138" s="491"/>
      <c r="T138" s="617">
        <v>600</v>
      </c>
      <c r="U138" s="685" t="s">
        <v>513</v>
      </c>
      <c r="V138" s="687"/>
      <c r="W138" s="507">
        <v>64</v>
      </c>
      <c r="X138" s="507">
        <v>43</v>
      </c>
      <c r="Y138" s="507">
        <v>21</v>
      </c>
      <c r="Z138" s="505">
        <f t="shared" si="1"/>
        <v>43.05323809008365</v>
      </c>
      <c r="AA138" s="504">
        <f>0.534*$Z$138</f>
        <v>22.990429140104673</v>
      </c>
      <c r="AB138" s="591">
        <f>0.534*$Z$138</f>
        <v>22.990429140104673</v>
      </c>
      <c r="AC138" s="592">
        <f>0.534*$Z$138</f>
        <v>22.990429140104673</v>
      </c>
      <c r="AD138" s="491"/>
      <c r="AE138" s="491"/>
      <c r="AF138" s="416"/>
    </row>
    <row r="139" spans="17:32" ht="19.5" customHeight="1">
      <c r="Q139" s="491"/>
      <c r="R139" s="491"/>
      <c r="T139" s="617">
        <v>800</v>
      </c>
      <c r="U139" s="685" t="s">
        <v>514</v>
      </c>
      <c r="V139" s="687"/>
      <c r="W139" s="507">
        <v>64</v>
      </c>
      <c r="X139" s="507">
        <v>32</v>
      </c>
      <c r="Y139" s="507">
        <v>16</v>
      </c>
      <c r="Z139" s="505">
        <f t="shared" si="1"/>
        <v>43.05323809008365</v>
      </c>
      <c r="AA139" s="504">
        <f>0.4*$Z$139</f>
        <v>17.221295236033463</v>
      </c>
      <c r="AB139" s="591">
        <f>0.4*$Z$139</f>
        <v>17.221295236033463</v>
      </c>
      <c r="AC139" s="592">
        <f>0.4*$Z$139</f>
        <v>17.221295236033463</v>
      </c>
      <c r="AD139" s="491"/>
      <c r="AE139" s="491"/>
      <c r="AF139" s="416"/>
    </row>
    <row r="140" spans="17:32" ht="19.5" customHeight="1">
      <c r="Q140" s="491"/>
      <c r="R140" s="491"/>
      <c r="T140" s="617">
        <v>1000</v>
      </c>
      <c r="U140" s="685" t="s">
        <v>515</v>
      </c>
      <c r="V140" s="687"/>
      <c r="W140" s="507">
        <v>64</v>
      </c>
      <c r="X140" s="507">
        <v>26</v>
      </c>
      <c r="Y140" s="507">
        <v>13</v>
      </c>
      <c r="Z140" s="505">
        <f t="shared" si="1"/>
        <v>43.05323809008365</v>
      </c>
      <c r="AA140" s="504">
        <f>0.32*$Z$140</f>
        <v>13.77703618882677</v>
      </c>
      <c r="AB140" s="591">
        <f>0.32*$Z$140</f>
        <v>13.77703618882677</v>
      </c>
      <c r="AC140" s="592">
        <f>0.32*$Z$140</f>
        <v>13.77703618882677</v>
      </c>
      <c r="AD140" s="491"/>
      <c r="AE140" s="491"/>
      <c r="AF140" s="416"/>
    </row>
    <row r="141" spans="17:32" ht="19.5" customHeight="1">
      <c r="Q141" s="491"/>
      <c r="R141" s="491"/>
      <c r="T141" s="617">
        <v>1200</v>
      </c>
      <c r="U141" s="685" t="s">
        <v>516</v>
      </c>
      <c r="V141" s="687"/>
      <c r="W141" s="507">
        <v>64</v>
      </c>
      <c r="X141" s="507">
        <v>21</v>
      </c>
      <c r="Y141" s="507">
        <v>11</v>
      </c>
      <c r="Z141" s="505">
        <f t="shared" si="1"/>
        <v>43.05323809008365</v>
      </c>
      <c r="AA141" s="504">
        <f>0.265*$Z$141</f>
        <v>11.409108093872169</v>
      </c>
      <c r="AB141" s="591">
        <f>0.265*$Z$141</f>
        <v>11.409108093872169</v>
      </c>
      <c r="AC141" s="592">
        <f>0.265*$Z$141</f>
        <v>11.409108093872169</v>
      </c>
      <c r="AD141" s="491"/>
      <c r="AE141" s="491"/>
      <c r="AF141" s="416"/>
    </row>
    <row r="142" spans="17:32" ht="19.5" customHeight="1">
      <c r="Q142" s="491"/>
      <c r="R142" s="491"/>
      <c r="T142" s="618">
        <v>1200</v>
      </c>
      <c r="U142" s="685" t="s">
        <v>517</v>
      </c>
      <c r="V142" s="687"/>
      <c r="W142" s="507">
        <v>6</v>
      </c>
      <c r="X142" s="507">
        <v>6</v>
      </c>
      <c r="Y142" s="507">
        <v>6</v>
      </c>
      <c r="Z142" s="505">
        <f t="shared" si="1"/>
        <v>43.05323809008365</v>
      </c>
      <c r="AA142" s="504">
        <f>0.15*$Z$142</f>
        <v>6.457985713512548</v>
      </c>
      <c r="AB142" s="591">
        <f>0.15*$Z$142</f>
        <v>6.457985713512548</v>
      </c>
      <c r="AC142" s="592">
        <f>0.15*$Z$142</f>
        <v>6.457985713512548</v>
      </c>
      <c r="AD142" s="491"/>
      <c r="AE142" s="491"/>
      <c r="AF142" s="416"/>
    </row>
    <row r="143" spans="17:32" ht="19.5" customHeight="1">
      <c r="Q143" s="491"/>
      <c r="R143" s="491"/>
      <c r="S143" s="585"/>
      <c r="T143" s="585"/>
      <c r="U143" s="491"/>
      <c r="V143" s="491"/>
      <c r="W143" s="491"/>
      <c r="X143" s="491"/>
      <c r="Y143" s="491"/>
      <c r="Z143" s="491"/>
      <c r="AA143" s="585"/>
      <c r="AB143" s="585"/>
      <c r="AC143" s="491"/>
      <c r="AD143" s="491"/>
      <c r="AE143" s="491"/>
      <c r="AF143" s="416"/>
    </row>
    <row r="144" spans="17:32" ht="19.5" customHeight="1">
      <c r="Q144" s="491"/>
      <c r="R144" s="491"/>
      <c r="S144" s="585"/>
      <c r="T144" s="544">
        <f>IF(AB134&lt;T136,W144,IF(AB134&lt;T137,W145,IF(AB134&lt;T138,W146,IF(AB134&lt;T139,AA144,IF(AB134&lt;T140,AA145,IF(AB134&lt;T141,AA146,AA147))))))</f>
        <v>11.409108093872169</v>
      </c>
      <c r="U144" s="544">
        <f>IF($AB$134&lt;$T$136,X144,IF($AB$134&lt;$T$137,X145,IF($AB$134&lt;$T$138,X146,IF($AB$134&lt;$T$139,AB144,IF($AB$134&lt;$T$140,AB145,IF($AB$134&lt;T141,AB146,AB147))))))</f>
        <v>11.409108093872169</v>
      </c>
      <c r="V144" s="544">
        <f>IF($AB$134&lt;$T$136,Y144,IF($AB$134&lt;$T$137,Y145,IF($AB$134&lt;$T$138,Y146,IF($AB$134&lt;$T$139,AC144,IF($AB$134&lt;$T$140,AC145,IF($AB$134&lt;U141,AC146,AC147))))))</f>
        <v>11</v>
      </c>
      <c r="W144" s="545">
        <f aca="true" t="shared" si="2" ref="W144:Y145">IF(AA136&lt;W136,AA136,W136)</f>
        <v>34.442590472066925</v>
      </c>
      <c r="X144" s="545">
        <f t="shared" si="2"/>
        <v>32</v>
      </c>
      <c r="Y144" s="545">
        <f t="shared" si="2"/>
        <v>20</v>
      </c>
      <c r="Z144" s="491"/>
      <c r="AA144" s="545">
        <f aca="true" t="shared" si="3" ref="AA144:AC147">IF(AA139&lt;W139,AA139,W139)</f>
        <v>17.221295236033463</v>
      </c>
      <c r="AB144" s="545">
        <f t="shared" si="3"/>
        <v>17.221295236033463</v>
      </c>
      <c r="AC144" s="545">
        <f t="shared" si="3"/>
        <v>16</v>
      </c>
      <c r="AD144" s="491"/>
      <c r="AE144" s="491"/>
      <c r="AF144" s="416"/>
    </row>
    <row r="145" spans="17:32" ht="19.5" customHeight="1">
      <c r="Q145" s="491"/>
      <c r="R145" s="491"/>
      <c r="S145" s="585"/>
      <c r="T145" s="505">
        <f>IF($AD$134&lt;$T$136,W144,IF($AD$134&lt;$T$137,W145,IF($AD$134&lt;$T$138,W146,IF($AD$134&lt;$T$139,AA144,IF($AD$134&lt;$T$140,AA145,IF($AD$134&lt;$T$141,AA146,AA147))))))</f>
        <v>11.409108093872169</v>
      </c>
      <c r="U145" s="505">
        <f>IF($AD$134&lt;$T$136,X144,IF($AD$134&lt;$T$137,X145,IF($AD$134&lt;$T$138,X146,IF($AD$134&lt;$T$139,AB144,IF($AD$134&lt;$T$140,AB145,IF($AD$134&lt;$T$141,AB146,AB147))))))</f>
        <v>11.409108093872169</v>
      </c>
      <c r="V145" s="505">
        <f>IF($AD$134&lt;$T$136,Y144,IF($AD$134&lt;$T$137,Y145,IF($AD$134&lt;$T$138,Y146,IF($AD$134&lt;$T$139,AC144,IF($AD$134&lt;$T$140,AC145,IF($AD$134&lt;$T$141,AC146,AC147))))))</f>
        <v>11</v>
      </c>
      <c r="W145" s="545">
        <f t="shared" si="2"/>
        <v>23.679280949546012</v>
      </c>
      <c r="X145" s="545">
        <f t="shared" si="2"/>
        <v>23.679280949546012</v>
      </c>
      <c r="Y145" s="545">
        <f t="shared" si="2"/>
        <v>22</v>
      </c>
      <c r="Z145" s="122"/>
      <c r="AA145" s="545">
        <f t="shared" si="3"/>
        <v>13.77703618882677</v>
      </c>
      <c r="AB145" s="545">
        <f t="shared" si="3"/>
        <v>13.77703618882677</v>
      </c>
      <c r="AC145" s="545">
        <f t="shared" si="3"/>
        <v>13</v>
      </c>
      <c r="AD145" s="491"/>
      <c r="AE145" s="491"/>
      <c r="AF145" s="416"/>
    </row>
    <row r="146" spans="17:32" ht="19.5" customHeight="1">
      <c r="Q146" s="491"/>
      <c r="R146" s="491"/>
      <c r="S146" s="585"/>
      <c r="T146" s="585"/>
      <c r="U146" s="491"/>
      <c r="V146" s="122"/>
      <c r="W146" s="545">
        <f>IF(AA138&lt;W138,AA138,64)</f>
        <v>22.990429140104673</v>
      </c>
      <c r="X146" s="545">
        <f>IF(AB138&lt;X138,AB138,X138)</f>
        <v>22.990429140104673</v>
      </c>
      <c r="Y146" s="545">
        <f>IF(AC138&lt;Y138,AC138,Y138)</f>
        <v>21</v>
      </c>
      <c r="Z146" s="535"/>
      <c r="AA146" s="545">
        <f t="shared" si="3"/>
        <v>11.409108093872169</v>
      </c>
      <c r="AB146" s="545">
        <f t="shared" si="3"/>
        <v>11.409108093872169</v>
      </c>
      <c r="AC146" s="545">
        <f t="shared" si="3"/>
        <v>11</v>
      </c>
      <c r="AD146" s="491"/>
      <c r="AE146" s="491"/>
      <c r="AF146" s="416"/>
    </row>
    <row r="147" spans="17:32" ht="19.5" customHeight="1">
      <c r="Q147" s="491"/>
      <c r="R147" s="491"/>
      <c r="S147" s="585"/>
      <c r="T147" s="585"/>
      <c r="U147" s="491"/>
      <c r="V147" s="122"/>
      <c r="W147" s="122"/>
      <c r="X147" s="122"/>
      <c r="Y147" s="491"/>
      <c r="Z147" s="535"/>
      <c r="AA147" s="545">
        <f t="shared" si="3"/>
        <v>6</v>
      </c>
      <c r="AB147" s="545">
        <f t="shared" si="3"/>
        <v>6</v>
      </c>
      <c r="AC147" s="545">
        <f t="shared" si="3"/>
        <v>6</v>
      </c>
      <c r="AD147" s="491"/>
      <c r="AE147" s="491"/>
      <c r="AF147" s="416"/>
    </row>
    <row r="148" spans="17:32" ht="19.5" customHeight="1">
      <c r="Q148" s="491"/>
      <c r="R148" s="491"/>
      <c r="S148" s="585"/>
      <c r="T148" s="585"/>
      <c r="U148" s="491"/>
      <c r="V148" s="122"/>
      <c r="W148" s="122"/>
      <c r="X148" s="122"/>
      <c r="Y148" s="491"/>
      <c r="Z148" s="535"/>
      <c r="AA148" s="585"/>
      <c r="AB148" s="585"/>
      <c r="AC148" s="491"/>
      <c r="AD148" s="491"/>
      <c r="AE148" s="491"/>
      <c r="AF148" s="416"/>
    </row>
    <row r="149" spans="17:32" ht="19.5" customHeight="1">
      <c r="Q149" s="491"/>
      <c r="R149" s="491"/>
      <c r="S149" s="585"/>
      <c r="T149" s="585"/>
      <c r="U149" s="491"/>
      <c r="V149" s="491"/>
      <c r="W149" s="491"/>
      <c r="X149" s="491"/>
      <c r="Y149" s="491"/>
      <c r="Z149" s="535"/>
      <c r="AA149" s="585"/>
      <c r="AB149" s="585"/>
      <c r="AC149" s="491"/>
      <c r="AD149" s="491"/>
      <c r="AE149" s="491"/>
      <c r="AF149" s="416"/>
    </row>
    <row r="150" spans="17:32" ht="19.5" customHeight="1">
      <c r="Q150" s="491"/>
      <c r="R150" s="491"/>
      <c r="S150" s="585"/>
      <c r="T150" s="585"/>
      <c r="U150" s="491"/>
      <c r="V150" s="491"/>
      <c r="W150" s="491"/>
      <c r="X150" s="535" t="s">
        <v>540</v>
      </c>
      <c r="Y150" s="522">
        <f>AD84</f>
        <v>1.0321781048295486</v>
      </c>
      <c r="Z150" s="535" t="s">
        <v>237</v>
      </c>
      <c r="AA150" s="522">
        <f>AA152^2/(1+AA152+AA152^2)</f>
        <v>0.8887654492431607</v>
      </c>
      <c r="AB150" s="585"/>
      <c r="AC150" s="611" t="s">
        <v>524</v>
      </c>
      <c r="AD150" s="612">
        <f>Y150^AA150</f>
        <v>1.0285482056187143</v>
      </c>
      <c r="AE150" s="491"/>
      <c r="AF150" s="416"/>
    </row>
    <row r="151" spans="17:32" ht="19.5" customHeight="1" thickBot="1">
      <c r="Q151" s="491"/>
      <c r="R151" s="491"/>
      <c r="S151" s="585"/>
      <c r="T151" s="585"/>
      <c r="U151" s="491"/>
      <c r="V151" s="491"/>
      <c r="W151" s="491"/>
      <c r="X151" s="535" t="s">
        <v>236</v>
      </c>
      <c r="Y151" s="588">
        <f>AC105</f>
        <v>60</v>
      </c>
      <c r="Z151" s="535" t="s">
        <v>235</v>
      </c>
      <c r="AA151" s="588">
        <f>2.25*2!D7</f>
        <v>6.75</v>
      </c>
      <c r="AB151" s="585"/>
      <c r="AC151" s="491"/>
      <c r="AD151" s="491"/>
      <c r="AE151" s="491"/>
      <c r="AF151" s="416"/>
    </row>
    <row r="152" spans="17:32" ht="19.5" customHeight="1" thickBot="1">
      <c r="Q152" s="491"/>
      <c r="R152" s="491"/>
      <c r="S152" s="443"/>
      <c r="T152" s="585"/>
      <c r="U152" s="491"/>
      <c r="V152" s="491"/>
      <c r="W152" s="122"/>
      <c r="X152" s="122"/>
      <c r="Y152" s="122"/>
      <c r="Z152" s="452" t="s">
        <v>541</v>
      </c>
      <c r="AA152" s="522">
        <f>Y151/AA151</f>
        <v>8.88888888888889</v>
      </c>
      <c r="AB152" s="585"/>
      <c r="AC152" s="603" t="s">
        <v>525</v>
      </c>
      <c r="AD152" s="521">
        <f>Y150^AA150</f>
        <v>1.0285482056187143</v>
      </c>
      <c r="AE152" s="491"/>
      <c r="AF152" s="416"/>
    </row>
    <row r="153" spans="17:32" ht="19.5" customHeight="1" thickBot="1">
      <c r="Q153" s="491"/>
      <c r="R153" s="491"/>
      <c r="S153" s="585"/>
      <c r="T153" s="585"/>
      <c r="U153" s="491"/>
      <c r="V153" s="491"/>
      <c r="W153" s="122"/>
      <c r="X153" s="122"/>
      <c r="Y153" s="122"/>
      <c r="Z153" s="122"/>
      <c r="AA153" s="122"/>
      <c r="AB153" s="585"/>
      <c r="AC153" s="491"/>
      <c r="AD153" s="491"/>
      <c r="AE153" s="491"/>
      <c r="AF153" s="416"/>
    </row>
    <row r="154" spans="17:32" ht="19.5" customHeight="1" thickBot="1">
      <c r="Q154" s="491"/>
      <c r="R154" s="491"/>
      <c r="S154" s="585"/>
      <c r="T154" s="585"/>
      <c r="U154" s="491"/>
      <c r="V154" s="491"/>
      <c r="W154" s="491"/>
      <c r="X154" s="491"/>
      <c r="Y154" s="491"/>
      <c r="Z154" s="491"/>
      <c r="AA154" s="585"/>
      <c r="AB154" s="585"/>
      <c r="AC154" s="603" t="s">
        <v>509</v>
      </c>
      <c r="AD154" s="521">
        <f>0.25+0.75/X156</f>
        <v>0.8056538031285458</v>
      </c>
      <c r="AE154" s="491"/>
      <c r="AF154" s="416"/>
    </row>
    <row r="155" spans="17:32" ht="19.5" customHeight="1" thickBot="1">
      <c r="Q155" s="491"/>
      <c r="R155" s="491"/>
      <c r="S155" s="585"/>
      <c r="T155" s="585"/>
      <c r="U155" s="491"/>
      <c r="V155" s="491"/>
      <c r="W155" s="491"/>
      <c r="X155" s="491"/>
      <c r="Y155" s="491"/>
      <c r="Z155" s="491"/>
      <c r="AA155" s="585"/>
      <c r="AB155" s="585"/>
      <c r="AC155" s="491"/>
      <c r="AD155" s="491"/>
      <c r="AE155" s="491"/>
      <c r="AF155" s="416"/>
    </row>
    <row r="156" spans="17:32" ht="19.5" customHeight="1" thickBot="1">
      <c r="Q156" s="491"/>
      <c r="R156" s="491"/>
      <c r="S156" s="585"/>
      <c r="T156" s="585"/>
      <c r="U156" s="491"/>
      <c r="V156" s="491"/>
      <c r="W156" s="609" t="s">
        <v>441</v>
      </c>
      <c r="X156" s="606">
        <f>2!D40</f>
        <v>1.3497613006105778</v>
      </c>
      <c r="AA156" s="608" t="s">
        <v>294</v>
      </c>
      <c r="AB156" s="606">
        <f>AC291</f>
        <v>0.9399004733462336</v>
      </c>
      <c r="AC156" s="603" t="s">
        <v>510</v>
      </c>
      <c r="AD156" s="521">
        <f>IF(AA160&lt;30,Y158,Z158)</f>
        <v>1</v>
      </c>
      <c r="AE156" s="491"/>
      <c r="AF156" s="416"/>
    </row>
    <row r="157" spans="17:32" ht="19.5" customHeight="1" thickBot="1">
      <c r="Q157" s="491"/>
      <c r="R157" s="491"/>
      <c r="S157" s="585"/>
      <c r="T157" s="585"/>
      <c r="U157" s="491"/>
      <c r="V157" s="491"/>
      <c r="W157" s="607"/>
      <c r="X157" s="607"/>
      <c r="Y157" s="491"/>
      <c r="Z157" s="491"/>
      <c r="AA157" s="585"/>
      <c r="AB157" s="585"/>
      <c r="AC157" s="491"/>
      <c r="AD157" s="491"/>
      <c r="AE157" s="491"/>
      <c r="AF157" s="416"/>
    </row>
    <row r="158" spans="17:32" ht="19.5" customHeight="1" thickBot="1">
      <c r="Q158" s="491"/>
      <c r="R158" s="491"/>
      <c r="S158" s="585"/>
      <c r="T158" s="585"/>
      <c r="U158" s="491"/>
      <c r="V158" s="491"/>
      <c r="W158" s="647" t="s">
        <v>545</v>
      </c>
      <c r="X158" s="648">
        <f>IF(2!D41&gt;=1,1,2!D41)</f>
        <v>0</v>
      </c>
      <c r="Y158" s="491">
        <f>1-X158*AA160/120</f>
        <v>1</v>
      </c>
      <c r="Z158" s="491">
        <f>1-X158*0.75</f>
        <v>1</v>
      </c>
      <c r="AA158" s="585"/>
      <c r="AB158" s="585"/>
      <c r="AC158" s="603" t="s">
        <v>503</v>
      </c>
      <c r="AD158" s="521">
        <f>IF(AA160&gt;1,AE166,AE163)</f>
        <v>1.1</v>
      </c>
      <c r="AE158" s="491"/>
      <c r="AF158" s="416"/>
    </row>
    <row r="159" spans="17:32" ht="19.5" customHeight="1" thickBot="1">
      <c r="Q159" s="491"/>
      <c r="R159" s="491"/>
      <c r="S159" s="585"/>
      <c r="T159" s="585"/>
      <c r="U159" s="491"/>
      <c r="V159" s="491"/>
      <c r="W159" s="491"/>
      <c r="X159" s="491"/>
      <c r="Y159" s="491"/>
      <c r="Z159" s="491"/>
      <c r="AA159" s="585"/>
      <c r="AB159" s="585"/>
      <c r="AF159" s="416"/>
    </row>
    <row r="160" spans="17:32" ht="19.5" customHeight="1" thickBot="1">
      <c r="Q160" s="491"/>
      <c r="R160" s="491"/>
      <c r="S160" s="585"/>
      <c r="U160" s="589" t="s">
        <v>252</v>
      </c>
      <c r="V160" s="491">
        <f>AA94*X83/AC105</f>
        <v>9832.175925925925</v>
      </c>
      <c r="W160" s="491"/>
      <c r="X160" s="604" t="str">
        <f>W112</f>
        <v>DIN</v>
      </c>
      <c r="Y160" s="605">
        <f>X112</f>
        <v>8</v>
      </c>
      <c r="Z160" s="609" t="s">
        <v>506</v>
      </c>
      <c r="AA160" s="610">
        <f>Y103</f>
        <v>0</v>
      </c>
      <c r="AB160" s="585"/>
      <c r="AC160" s="603" t="s">
        <v>504</v>
      </c>
      <c r="AD160" s="521">
        <f>IF(AA160&gt;1,AE173,AE170)</f>
        <v>1.1</v>
      </c>
      <c r="AF160" s="416"/>
    </row>
    <row r="161" spans="17:32" ht="19.5" customHeight="1">
      <c r="Q161" s="491"/>
      <c r="R161" s="491"/>
      <c r="S161" s="585" t="s">
        <v>124</v>
      </c>
      <c r="T161" s="585"/>
      <c r="U161" s="733" t="s">
        <v>247</v>
      </c>
      <c r="V161" s="733"/>
      <c r="W161" s="733"/>
      <c r="X161" s="733"/>
      <c r="Y161" s="733"/>
      <c r="Z161" s="733"/>
      <c r="AA161" s="733"/>
      <c r="AB161" s="544" t="s">
        <v>254</v>
      </c>
      <c r="AC161" s="505" t="s">
        <v>255</v>
      </c>
      <c r="AD161" s="505" t="s">
        <v>254</v>
      </c>
      <c r="AE161" s="547"/>
      <c r="AF161" s="416"/>
    </row>
    <row r="162" spans="17:32" ht="19.5" customHeight="1">
      <c r="Q162" s="491"/>
      <c r="R162" s="491"/>
      <c r="S162" s="619">
        <f>1!L33</f>
        <v>3</v>
      </c>
      <c r="T162" s="613" t="s">
        <v>507</v>
      </c>
      <c r="U162" s="548">
        <v>6</v>
      </c>
      <c r="V162" s="548">
        <v>7</v>
      </c>
      <c r="W162" s="548">
        <v>8</v>
      </c>
      <c r="X162" s="548">
        <v>9</v>
      </c>
      <c r="Y162" s="548">
        <v>10</v>
      </c>
      <c r="Z162" s="594">
        <v>11</v>
      </c>
      <c r="AA162" s="548">
        <v>12</v>
      </c>
      <c r="AB162" s="643" t="s">
        <v>253</v>
      </c>
      <c r="AC162" s="491"/>
      <c r="AD162" s="491"/>
      <c r="AE162" s="547"/>
      <c r="AF162" s="416"/>
    </row>
    <row r="163" spans="17:31" ht="19.5" customHeight="1">
      <c r="Q163" s="491"/>
      <c r="R163" s="491"/>
      <c r="S163" s="620">
        <v>3</v>
      </c>
      <c r="T163" s="696" t="s">
        <v>442</v>
      </c>
      <c r="U163" s="504">
        <v>1</v>
      </c>
      <c r="V163" s="504">
        <v>1</v>
      </c>
      <c r="W163" s="504">
        <v>1.1</v>
      </c>
      <c r="X163" s="504">
        <v>1.2</v>
      </c>
      <c r="Y163" s="549">
        <f>IF(1/AD154&lt;1.2,1.2,1/AD154)</f>
        <v>1.2412279270783078</v>
      </c>
      <c r="Z163" s="550"/>
      <c r="AA163" s="550"/>
      <c r="AB163" s="551"/>
      <c r="AC163" s="505">
        <f>IF($Y$160&lt;6.5,U163,IF($Y$160&lt;7.5,V163,IF($Y$160&lt;8.5,W163,IF($Y$160&lt;9.5,X163,Y163))))</f>
        <v>1.1</v>
      </c>
      <c r="AD163" s="505">
        <f>Y163</f>
        <v>1.2412279270783078</v>
      </c>
      <c r="AE163" s="644">
        <f>IF($S$162&gt;2.5,AC165,AD165)</f>
        <v>1.1</v>
      </c>
    </row>
    <row r="164" spans="17:32" ht="19.5" customHeight="1">
      <c r="Q164" s="491"/>
      <c r="R164" s="491"/>
      <c r="S164" s="620">
        <v>2</v>
      </c>
      <c r="T164" s="696"/>
      <c r="U164" s="549">
        <v>1</v>
      </c>
      <c r="V164" s="550"/>
      <c r="W164" s="551"/>
      <c r="X164" s="504">
        <v>1.1</v>
      </c>
      <c r="Y164" s="504">
        <v>1.2</v>
      </c>
      <c r="Z164" s="549">
        <f>IF(1/AD154&lt;1.2,1.2,1/AD154)</f>
        <v>1.2412279270783078</v>
      </c>
      <c r="AA164" s="550"/>
      <c r="AB164" s="551"/>
      <c r="AC164" s="505">
        <f>IF($Y$160&lt;8.5,U164,IF($Y$160&lt;9.5,X164,IF($Y$160&lt;10.5,Y164,Z164)))</f>
        <v>1</v>
      </c>
      <c r="AD164" s="517">
        <f>Z164</f>
        <v>1.2412279270783078</v>
      </c>
      <c r="AE164" s="122"/>
      <c r="AF164" s="547"/>
    </row>
    <row r="165" spans="17:32" ht="19.5" customHeight="1">
      <c r="Q165" s="491"/>
      <c r="R165" s="491"/>
      <c r="S165" s="585"/>
      <c r="T165" s="613" t="s">
        <v>508</v>
      </c>
      <c r="U165" s="550"/>
      <c r="V165" s="550"/>
      <c r="W165" s="550"/>
      <c r="X165" s="550"/>
      <c r="Y165" s="550"/>
      <c r="Z165" s="550"/>
      <c r="AA165" s="550"/>
      <c r="AB165" s="551"/>
      <c r="AC165" s="644">
        <f>IF($V$160&gt;100,AC163,AD163)</f>
        <v>1.1</v>
      </c>
      <c r="AD165" s="644">
        <f>IF($V$160&gt;100,AC164,AD164)</f>
        <v>1</v>
      </c>
      <c r="AE165" s="644"/>
      <c r="AF165" s="547"/>
    </row>
    <row r="166" spans="17:31" ht="19.5" customHeight="1">
      <c r="Q166" s="491"/>
      <c r="R166" s="491"/>
      <c r="S166" s="620">
        <v>3</v>
      </c>
      <c r="T166" s="697" t="s">
        <v>442</v>
      </c>
      <c r="U166" s="552">
        <v>1</v>
      </c>
      <c r="V166" s="552">
        <v>1.1</v>
      </c>
      <c r="W166" s="552">
        <v>1.2</v>
      </c>
      <c r="X166" s="552">
        <v>1.4</v>
      </c>
      <c r="Y166" s="549">
        <f>IF(X156&lt;1.4,1.4,X156)</f>
        <v>1.4</v>
      </c>
      <c r="Z166" s="550"/>
      <c r="AA166" s="550"/>
      <c r="AB166" s="551"/>
      <c r="AC166" s="505">
        <f>IF($Y$160&lt;6.5,U166,IF($Y$160&lt;7.5,V166,IF($Y$160&lt;8.5,W166,IF($Y$160&lt;9.5,X166,Y166))))</f>
        <v>1.2</v>
      </c>
      <c r="AD166" s="505">
        <f>Y166</f>
        <v>1.4</v>
      </c>
      <c r="AE166" s="644">
        <f>IF($S$162&gt;2.5,AC168,AD168)</f>
        <v>1.2</v>
      </c>
    </row>
    <row r="167" spans="17:32" ht="19.5" customHeight="1">
      <c r="Q167" s="491"/>
      <c r="R167" s="491"/>
      <c r="S167" s="620">
        <v>2</v>
      </c>
      <c r="T167" s="698"/>
      <c r="U167" s="549">
        <v>1</v>
      </c>
      <c r="V167" s="551"/>
      <c r="W167" s="552">
        <v>1.1</v>
      </c>
      <c r="X167" s="552">
        <v>1.2</v>
      </c>
      <c r="Y167" s="552">
        <v>1.4</v>
      </c>
      <c r="Z167" s="549">
        <f>IF(X156&lt;1.4,1.4,X156)</f>
        <v>1.4</v>
      </c>
      <c r="AA167" s="550"/>
      <c r="AB167" s="551"/>
      <c r="AC167" s="505">
        <f>IF($Y$160&lt;7.5,U167,IF($Y$160&lt;8.5,W167,IF($Y$160&lt;9.5,X167,IF($Y$160&lt;10.5,Y167,Z167))))</f>
        <v>1.1</v>
      </c>
      <c r="AD167" s="505">
        <f>Z167</f>
        <v>1.4</v>
      </c>
      <c r="AE167" s="122"/>
      <c r="AF167" s="547"/>
    </row>
    <row r="168" spans="17:32" ht="19.5" customHeight="1">
      <c r="Q168" s="491"/>
      <c r="R168" s="491"/>
      <c r="S168" s="585"/>
      <c r="T168" s="580"/>
      <c r="U168" s="491"/>
      <c r="V168" s="491"/>
      <c r="W168" s="491"/>
      <c r="X168" s="491"/>
      <c r="Y168" s="491"/>
      <c r="Z168" s="491"/>
      <c r="AA168" s="585"/>
      <c r="AB168" s="585"/>
      <c r="AC168" s="644">
        <f>IF($V$160&gt;100,AC166,AD166)</f>
        <v>1.2</v>
      </c>
      <c r="AD168" s="644">
        <f>IF($V$160&gt;100,AC167,AD167)</f>
        <v>1.1</v>
      </c>
      <c r="AE168" s="644"/>
      <c r="AF168" s="547"/>
    </row>
    <row r="169" spans="17:32" ht="19.5" customHeight="1">
      <c r="Q169" s="491"/>
      <c r="R169" s="491"/>
      <c r="S169" s="585"/>
      <c r="T169" s="613" t="s">
        <v>507</v>
      </c>
      <c r="U169" s="548">
        <v>6</v>
      </c>
      <c r="V169" s="548">
        <v>7</v>
      </c>
      <c r="W169" s="548">
        <v>8</v>
      </c>
      <c r="X169" s="548">
        <v>9</v>
      </c>
      <c r="Y169" s="548">
        <v>10</v>
      </c>
      <c r="Z169" s="594">
        <v>11</v>
      </c>
      <c r="AA169" s="548">
        <v>12</v>
      </c>
      <c r="AB169" s="643" t="s">
        <v>253</v>
      </c>
      <c r="AC169" s="644">
        <f>IF($V$160&gt;100,AC170,AD170)</f>
        <v>1.1</v>
      </c>
      <c r="AD169" s="644">
        <f>IF($V$160&gt;100,AC171,AD171)</f>
        <v>1</v>
      </c>
      <c r="AE169" s="644"/>
      <c r="AF169" s="547"/>
    </row>
    <row r="170" spans="17:31" ht="19.5" customHeight="1">
      <c r="Q170" s="491"/>
      <c r="R170" s="491"/>
      <c r="S170" s="620">
        <v>3</v>
      </c>
      <c r="T170" s="696" t="s">
        <v>443</v>
      </c>
      <c r="U170" s="504">
        <v>1</v>
      </c>
      <c r="V170" s="504">
        <v>1</v>
      </c>
      <c r="W170" s="504">
        <v>1.1</v>
      </c>
      <c r="X170" s="504">
        <v>1.2</v>
      </c>
      <c r="Y170" s="549">
        <f>IF(1/AD154&lt;1.2,1.2,1/AD154)</f>
        <v>1.2412279270783078</v>
      </c>
      <c r="Z170" s="550"/>
      <c r="AA170" s="550"/>
      <c r="AB170" s="551"/>
      <c r="AC170" s="505">
        <f>IF($Y$160&lt;6.5,U170,IF($Y$160&lt;7.5,V170,IF($Y$160&lt;8.5,W170,IF($Y$160&lt;9.5,X170,Y170))))</f>
        <v>1.1</v>
      </c>
      <c r="AD170" s="505">
        <f>Y170</f>
        <v>1.2412279270783078</v>
      </c>
      <c r="AE170" s="644">
        <f>IF($S$162&gt;2.5,AC169,AD169)</f>
        <v>1.1</v>
      </c>
    </row>
    <row r="171" spans="17:32" ht="19.5" customHeight="1">
      <c r="Q171" s="491"/>
      <c r="R171" s="491"/>
      <c r="S171" s="620">
        <v>2</v>
      </c>
      <c r="T171" s="696"/>
      <c r="U171" s="549">
        <v>1</v>
      </c>
      <c r="V171" s="550"/>
      <c r="W171" s="551"/>
      <c r="X171" s="504">
        <v>1.1</v>
      </c>
      <c r="Y171" s="504">
        <v>1.2</v>
      </c>
      <c r="Z171" s="549">
        <f>IF(1/AD154&lt;1.2,1.2,1/AD154)</f>
        <v>1.2412279270783078</v>
      </c>
      <c r="AA171" s="550"/>
      <c r="AB171" s="551"/>
      <c r="AC171" s="505">
        <f>IF($Y$160&lt;8.5,U171,IF($Y$160&lt;9.5,X171,IF($Y$160&lt;10.5,Y171,Z171)))</f>
        <v>1</v>
      </c>
      <c r="AD171" s="505">
        <f>Z171</f>
        <v>1.2412279270783078</v>
      </c>
      <c r="AE171" s="122"/>
      <c r="AF171" s="547"/>
    </row>
    <row r="172" spans="17:32" ht="19.5" customHeight="1">
      <c r="Q172" s="491"/>
      <c r="R172" s="491"/>
      <c r="S172" s="585"/>
      <c r="T172" s="613" t="s">
        <v>508</v>
      </c>
      <c r="U172" s="550"/>
      <c r="V172" s="550"/>
      <c r="W172" s="550"/>
      <c r="X172" s="550"/>
      <c r="Y172" s="550"/>
      <c r="Z172" s="550"/>
      <c r="AA172" s="550"/>
      <c r="AB172" s="551"/>
      <c r="AC172" s="644">
        <f>IF($V$160&gt;100,AC173,AD173)</f>
        <v>1.2</v>
      </c>
      <c r="AD172" s="644">
        <f>IF($V$160&gt;100,AC174,AD174)</f>
        <v>1.1</v>
      </c>
      <c r="AE172" s="644"/>
      <c r="AF172" s="547"/>
    </row>
    <row r="173" spans="17:31" ht="19.5" customHeight="1">
      <c r="Q173" s="491"/>
      <c r="R173" s="491"/>
      <c r="S173" s="620">
        <v>3</v>
      </c>
      <c r="T173" s="696" t="s">
        <v>443</v>
      </c>
      <c r="U173" s="552">
        <v>1</v>
      </c>
      <c r="V173" s="552">
        <v>1.1</v>
      </c>
      <c r="W173" s="552">
        <v>1.2</v>
      </c>
      <c r="X173" s="552">
        <v>1.4</v>
      </c>
      <c r="Y173" s="549">
        <f>IF(X156&lt;1.4,1.4,X156)</f>
        <v>1.4</v>
      </c>
      <c r="Z173" s="550"/>
      <c r="AA173" s="550"/>
      <c r="AB173" s="551"/>
      <c r="AC173" s="505">
        <f>IF($Y$160&lt;6.5,U173,IF($Y$160&lt;7.5,V173,IF($Y$160&lt;8.5,W173,IF($Y$160&lt;9.5,X173,Y173))))</f>
        <v>1.2</v>
      </c>
      <c r="AD173" s="505">
        <f>Y173</f>
        <v>1.4</v>
      </c>
      <c r="AE173" s="644">
        <f>IF($S$162&gt;2.5,AC172,AD172)</f>
        <v>1.2</v>
      </c>
    </row>
    <row r="174" spans="17:32" ht="19.5" customHeight="1">
      <c r="Q174" s="491"/>
      <c r="R174" s="491"/>
      <c r="S174" s="620">
        <v>2</v>
      </c>
      <c r="T174" s="696"/>
      <c r="U174" s="549">
        <v>1</v>
      </c>
      <c r="V174" s="551"/>
      <c r="W174" s="552">
        <v>1.1</v>
      </c>
      <c r="X174" s="552">
        <v>1.2</v>
      </c>
      <c r="Y174" s="552">
        <v>1.4</v>
      </c>
      <c r="Z174" s="549">
        <f>IF(X156&lt;1.4,1.4,X156)</f>
        <v>1.4</v>
      </c>
      <c r="AA174" s="550"/>
      <c r="AB174" s="551"/>
      <c r="AC174" s="505">
        <f>IF($Y$160&lt;7.5,U174,IF($Y$160&lt;8.5,W174,IF($Y$160&lt;9.5,X174,IF($Y$160&lt;10.5,Y174,Z174))))</f>
        <v>1.1</v>
      </c>
      <c r="AD174" s="505">
        <f>Z174</f>
        <v>1.4</v>
      </c>
      <c r="AE174" s="122"/>
      <c r="AF174" s="491"/>
    </row>
    <row r="175" spans="17:32" ht="19.5" customHeight="1">
      <c r="Q175" s="491"/>
      <c r="R175" s="491"/>
      <c r="S175" s="585"/>
      <c r="T175" s="585"/>
      <c r="U175" s="491"/>
      <c r="V175" s="491"/>
      <c r="W175" s="491"/>
      <c r="X175" s="491"/>
      <c r="Y175" s="491"/>
      <c r="Z175" s="491"/>
      <c r="AA175" s="585"/>
      <c r="AB175" s="585"/>
      <c r="AC175" s="491"/>
      <c r="AD175" s="491"/>
      <c r="AE175" s="491"/>
      <c r="AF175" s="416"/>
    </row>
    <row r="176" spans="17:32" ht="19.5" customHeight="1" thickBot="1">
      <c r="Q176" s="491"/>
      <c r="R176" s="491"/>
      <c r="S176" s="585"/>
      <c r="T176" s="585"/>
      <c r="U176" s="491"/>
      <c r="V176" s="491"/>
      <c r="W176" s="491"/>
      <c r="X176" s="491"/>
      <c r="Y176" s="491"/>
      <c r="Z176" s="491"/>
      <c r="AA176" s="585"/>
      <c r="AB176" s="585"/>
      <c r="AC176" s="491"/>
      <c r="AD176" s="491"/>
      <c r="AE176" s="491"/>
      <c r="AF176" s="416"/>
    </row>
    <row r="177" spans="17:32" ht="19.5" customHeight="1">
      <c r="Q177" s="491"/>
      <c r="R177" s="491"/>
      <c r="S177" s="699"/>
      <c r="T177" s="694"/>
      <c r="U177" s="700"/>
      <c r="V177" s="699" t="s">
        <v>444</v>
      </c>
      <c r="W177" s="694"/>
      <c r="X177" s="694"/>
      <c r="Y177" s="694"/>
      <c r="Z177" s="694"/>
      <c r="AA177" s="694"/>
      <c r="AB177" s="694"/>
      <c r="AC177" s="694"/>
      <c r="AD177" s="700"/>
      <c r="AE177" s="491"/>
      <c r="AF177" s="416"/>
    </row>
    <row r="178" spans="17:32" ht="19.5" customHeight="1">
      <c r="Q178" s="491"/>
      <c r="R178" s="491"/>
      <c r="S178" s="701"/>
      <c r="T178" s="702"/>
      <c r="U178" s="703"/>
      <c r="V178" s="701" t="s">
        <v>247</v>
      </c>
      <c r="W178" s="736"/>
      <c r="X178" s="736"/>
      <c r="Y178" s="736"/>
      <c r="Z178" s="736"/>
      <c r="AA178" s="736"/>
      <c r="AB178" s="736"/>
      <c r="AC178" s="737"/>
      <c r="AD178" s="702" t="s">
        <v>248</v>
      </c>
      <c r="AE178" s="491"/>
      <c r="AF178" s="416"/>
    </row>
    <row r="179" spans="17:32" ht="19.5" customHeight="1">
      <c r="Q179" s="491"/>
      <c r="R179" s="491"/>
      <c r="S179" s="701" t="s">
        <v>238</v>
      </c>
      <c r="T179" s="702"/>
      <c r="U179" s="703"/>
      <c r="V179" s="555"/>
      <c r="W179" s="555"/>
      <c r="X179" s="555"/>
      <c r="Y179" s="555"/>
      <c r="Z179" s="555"/>
      <c r="AA179" s="595"/>
      <c r="AB179" s="554"/>
      <c r="AC179" s="555"/>
      <c r="AD179" s="702"/>
      <c r="AE179" s="491"/>
      <c r="AF179" s="416"/>
    </row>
    <row r="180" spans="17:32" ht="19.5" customHeight="1" thickBot="1">
      <c r="Q180" s="491"/>
      <c r="R180" s="491"/>
      <c r="S180" s="712" t="s">
        <v>239</v>
      </c>
      <c r="T180" s="695"/>
      <c r="U180" s="713"/>
      <c r="V180" s="557">
        <v>6</v>
      </c>
      <c r="W180" s="557">
        <v>7</v>
      </c>
      <c r="X180" s="557">
        <v>8</v>
      </c>
      <c r="Y180" s="557">
        <v>9</v>
      </c>
      <c r="Z180" s="557">
        <v>10</v>
      </c>
      <c r="AA180" s="553">
        <v>11</v>
      </c>
      <c r="AB180" s="556"/>
      <c r="AC180" s="557">
        <v>12</v>
      </c>
      <c r="AD180" s="557" t="s">
        <v>240</v>
      </c>
      <c r="AE180" s="491"/>
      <c r="AF180" s="416"/>
    </row>
    <row r="181" spans="17:32" ht="19.5" customHeight="1">
      <c r="Q181" s="491"/>
      <c r="R181" s="491"/>
      <c r="S181" s="699" t="s">
        <v>241</v>
      </c>
      <c r="T181" s="694" t="s">
        <v>242</v>
      </c>
      <c r="U181" s="498" t="s">
        <v>445</v>
      </c>
      <c r="V181" s="699" t="s">
        <v>169</v>
      </c>
      <c r="W181" s="700"/>
      <c r="X181" s="704" t="s">
        <v>170</v>
      </c>
      <c r="Y181" s="704" t="s">
        <v>243</v>
      </c>
      <c r="Z181" s="699" t="s">
        <v>446</v>
      </c>
      <c r="AA181" s="694"/>
      <c r="AB181" s="694"/>
      <c r="AC181" s="694"/>
      <c r="AD181" s="700"/>
      <c r="AE181" s="491"/>
      <c r="AF181" s="416"/>
    </row>
    <row r="182" spans="17:32" ht="19.5" customHeight="1" thickBot="1">
      <c r="Q182" s="491"/>
      <c r="R182" s="491"/>
      <c r="S182" s="701"/>
      <c r="T182" s="695"/>
      <c r="U182" s="531" t="s">
        <v>447</v>
      </c>
      <c r="V182" s="712"/>
      <c r="W182" s="713"/>
      <c r="X182" s="705"/>
      <c r="Y182" s="705"/>
      <c r="Z182" s="712" t="s">
        <v>448</v>
      </c>
      <c r="AA182" s="695"/>
      <c r="AB182" s="695"/>
      <c r="AC182" s="695"/>
      <c r="AD182" s="713"/>
      <c r="AE182" s="491"/>
      <c r="AF182" s="416"/>
    </row>
    <row r="183" spans="17:32" ht="19.5" customHeight="1">
      <c r="Q183" s="491"/>
      <c r="R183" s="491"/>
      <c r="S183" s="701"/>
      <c r="T183" s="694" t="s">
        <v>244</v>
      </c>
      <c r="U183" s="498" t="s">
        <v>445</v>
      </c>
      <c r="V183" s="704" t="s">
        <v>169</v>
      </c>
      <c r="W183" s="704" t="s">
        <v>170</v>
      </c>
      <c r="X183" s="704" t="s">
        <v>243</v>
      </c>
      <c r="Y183" s="704" t="s">
        <v>200</v>
      </c>
      <c r="Z183" s="699" t="s">
        <v>449</v>
      </c>
      <c r="AA183" s="694"/>
      <c r="AB183" s="694"/>
      <c r="AC183" s="694"/>
      <c r="AD183" s="700"/>
      <c r="AE183" s="491"/>
      <c r="AF183" s="416"/>
    </row>
    <row r="184" spans="17:32" ht="19.5" customHeight="1" thickBot="1">
      <c r="Q184" s="491"/>
      <c r="R184" s="491"/>
      <c r="S184" s="712"/>
      <c r="T184" s="695"/>
      <c r="U184" s="531" t="s">
        <v>447</v>
      </c>
      <c r="V184" s="705"/>
      <c r="W184" s="705"/>
      <c r="X184" s="705"/>
      <c r="Y184" s="705"/>
      <c r="Z184" s="712"/>
      <c r="AA184" s="695"/>
      <c r="AB184" s="695"/>
      <c r="AC184" s="695"/>
      <c r="AD184" s="713"/>
      <c r="AE184" s="491"/>
      <c r="AF184" s="416"/>
    </row>
    <row r="185" spans="17:32" ht="19.5" customHeight="1">
      <c r="Q185" s="491"/>
      <c r="R185" s="491"/>
      <c r="S185" s="699" t="s">
        <v>245</v>
      </c>
      <c r="T185" s="694" t="s">
        <v>242</v>
      </c>
      <c r="U185" s="498" t="s">
        <v>445</v>
      </c>
      <c r="V185" s="699" t="s">
        <v>169</v>
      </c>
      <c r="W185" s="694"/>
      <c r="X185" s="700"/>
      <c r="Y185" s="704" t="s">
        <v>170</v>
      </c>
      <c r="Z185" s="699" t="s">
        <v>243</v>
      </c>
      <c r="AA185" s="700"/>
      <c r="AB185" s="699" t="s">
        <v>450</v>
      </c>
      <c r="AC185" s="694"/>
      <c r="AD185" s="700"/>
      <c r="AE185" s="491"/>
      <c r="AF185" s="416"/>
    </row>
    <row r="186" spans="17:32" ht="19.5" customHeight="1" thickBot="1">
      <c r="Q186" s="491"/>
      <c r="R186" s="491"/>
      <c r="S186" s="701"/>
      <c r="T186" s="695"/>
      <c r="U186" s="531" t="s">
        <v>447</v>
      </c>
      <c r="V186" s="712"/>
      <c r="W186" s="695"/>
      <c r="X186" s="713"/>
      <c r="Y186" s="705"/>
      <c r="Z186" s="712"/>
      <c r="AA186" s="713"/>
      <c r="AB186" s="712" t="s">
        <v>451</v>
      </c>
      <c r="AC186" s="695"/>
      <c r="AD186" s="713"/>
      <c r="AE186" s="491"/>
      <c r="AF186" s="416"/>
    </row>
    <row r="187" spans="17:32" ht="19.5" customHeight="1">
      <c r="Q187" s="491"/>
      <c r="R187" s="491"/>
      <c r="S187" s="701"/>
      <c r="T187" s="694" t="s">
        <v>244</v>
      </c>
      <c r="U187" s="498" t="s">
        <v>445</v>
      </c>
      <c r="V187" s="699" t="s">
        <v>169</v>
      </c>
      <c r="W187" s="700"/>
      <c r="X187" s="704" t="s">
        <v>170</v>
      </c>
      <c r="Y187" s="704" t="s">
        <v>243</v>
      </c>
      <c r="Z187" s="699" t="s">
        <v>200</v>
      </c>
      <c r="AA187" s="700"/>
      <c r="AB187" s="699" t="s">
        <v>246</v>
      </c>
      <c r="AC187" s="694"/>
      <c r="AD187" s="700"/>
      <c r="AE187" s="491"/>
      <c r="AF187" s="416"/>
    </row>
    <row r="188" spans="17:32" ht="19.5" customHeight="1" thickBot="1">
      <c r="Q188" s="491"/>
      <c r="R188" s="491"/>
      <c r="S188" s="712"/>
      <c r="T188" s="695"/>
      <c r="U188" s="527" t="s">
        <v>447</v>
      </c>
      <c r="V188" s="712"/>
      <c r="W188" s="713"/>
      <c r="X188" s="705"/>
      <c r="Y188" s="705"/>
      <c r="Z188" s="712"/>
      <c r="AA188" s="713"/>
      <c r="AB188" s="712" t="s">
        <v>452</v>
      </c>
      <c r="AC188" s="695"/>
      <c r="AD188" s="713"/>
      <c r="AE188" s="491"/>
      <c r="AF188" s="416"/>
    </row>
    <row r="189" spans="17:32" ht="19.5" customHeight="1">
      <c r="Q189" s="491"/>
      <c r="R189" s="491"/>
      <c r="S189" s="587" t="s">
        <v>241</v>
      </c>
      <c r="T189" s="621" t="s">
        <v>249</v>
      </c>
      <c r="U189" s="558"/>
      <c r="V189" s="491"/>
      <c r="W189" s="491"/>
      <c r="X189" s="491"/>
      <c r="Y189" s="491"/>
      <c r="Z189" s="491"/>
      <c r="AA189" s="585"/>
      <c r="AB189" s="585"/>
      <c r="AC189" s="491"/>
      <c r="AD189" s="491"/>
      <c r="AE189" s="491"/>
      <c r="AF189" s="416"/>
    </row>
    <row r="190" spans="17:32" ht="19.5" customHeight="1">
      <c r="Q190" s="491"/>
      <c r="R190" s="491"/>
      <c r="S190" s="587" t="s">
        <v>245</v>
      </c>
      <c r="T190" s="621" t="s">
        <v>250</v>
      </c>
      <c r="U190" s="558"/>
      <c r="V190" s="491"/>
      <c r="W190" s="491"/>
      <c r="X190" s="491"/>
      <c r="Y190" s="491"/>
      <c r="Z190" s="491"/>
      <c r="AA190" s="585"/>
      <c r="AB190" s="585"/>
      <c r="AC190" s="491"/>
      <c r="AD190" s="491"/>
      <c r="AE190" s="491"/>
      <c r="AF190" s="416"/>
    </row>
    <row r="191" spans="17:32" ht="19.5" customHeight="1">
      <c r="Q191" s="491"/>
      <c r="R191" s="491"/>
      <c r="S191" s="587" t="s">
        <v>246</v>
      </c>
      <c r="T191" s="621" t="s">
        <v>251</v>
      </c>
      <c r="U191" s="491"/>
      <c r="V191" s="491"/>
      <c r="W191" s="491"/>
      <c r="X191" s="491"/>
      <c r="Y191" s="491"/>
      <c r="Z191" s="491"/>
      <c r="AA191" s="585"/>
      <c r="AB191" s="585"/>
      <c r="AC191" s="491"/>
      <c r="AD191" s="491"/>
      <c r="AE191" s="491"/>
      <c r="AF191" s="416"/>
    </row>
    <row r="192" spans="17:32" ht="19.5" customHeight="1">
      <c r="Q192" s="491"/>
      <c r="R192" s="491"/>
      <c r="T192" s="621"/>
      <c r="U192" s="491"/>
      <c r="V192" s="491"/>
      <c r="W192" s="491"/>
      <c r="X192" s="491"/>
      <c r="Y192" s="491"/>
      <c r="Z192" s="491"/>
      <c r="AA192" s="585"/>
      <c r="AB192" s="585"/>
      <c r="AC192" s="491"/>
      <c r="AD192" s="491"/>
      <c r="AE192" s="491"/>
      <c r="AF192" s="416"/>
    </row>
    <row r="193" spans="17:32" ht="19.5" customHeight="1">
      <c r="Q193" s="491"/>
      <c r="R193" s="491"/>
      <c r="S193" s="585"/>
      <c r="T193" s="585"/>
      <c r="U193" s="491"/>
      <c r="V193" s="491"/>
      <c r="W193" s="491"/>
      <c r="X193" s="491"/>
      <c r="Y193" s="491"/>
      <c r="Z193" s="491"/>
      <c r="AA193" s="585"/>
      <c r="AB193" s="585"/>
      <c r="AC193" s="491"/>
      <c r="AF193" s="416"/>
    </row>
    <row r="194" spans="17:32" ht="19.5" customHeight="1">
      <c r="Q194" s="491"/>
      <c r="R194" s="491"/>
      <c r="S194" s="585"/>
      <c r="T194" s="443"/>
      <c r="U194" s="491"/>
      <c r="V194" s="491"/>
      <c r="W194" s="589" t="s">
        <v>453</v>
      </c>
      <c r="X194" s="588">
        <f>COS(20*PI()/180)</f>
        <v>0.9396926207859084</v>
      </c>
      <c r="Y194" s="589" t="s">
        <v>400</v>
      </c>
      <c r="Z194" s="588">
        <f>AC70</f>
        <v>0.36397023426620234</v>
      </c>
      <c r="AA194" s="589" t="s">
        <v>454</v>
      </c>
      <c r="AB194" s="588">
        <f>SIN(20*PI()/180)</f>
        <v>0.3420201433256687</v>
      </c>
      <c r="AC194" s="589" t="s">
        <v>256</v>
      </c>
      <c r="AD194" s="588">
        <f>2!D7</f>
        <v>3</v>
      </c>
      <c r="AF194" s="416"/>
    </row>
    <row r="195" spans="17:32" ht="19.5" customHeight="1">
      <c r="Q195" s="491"/>
      <c r="R195" s="491"/>
      <c r="S195" s="585"/>
      <c r="T195" s="585"/>
      <c r="U195" s="491"/>
      <c r="V195" s="491"/>
      <c r="Y195" s="493"/>
      <c r="Z195" s="493"/>
      <c r="AA195" s="122"/>
      <c r="AB195" s="122"/>
      <c r="AC195" s="491"/>
      <c r="AF195" s="416"/>
    </row>
    <row r="196" spans="17:32" ht="19.5" customHeight="1">
      <c r="Q196" s="491"/>
      <c r="R196" s="491"/>
      <c r="S196" s="585"/>
      <c r="T196" s="585"/>
      <c r="U196" s="491"/>
      <c r="V196" s="491"/>
      <c r="Y196" s="532" t="s">
        <v>390</v>
      </c>
      <c r="Z196" s="533">
        <f>AA57</f>
        <v>12</v>
      </c>
      <c r="AA196" s="546" t="s">
        <v>390</v>
      </c>
      <c r="AB196" s="584">
        <f>AD57</f>
        <v>48</v>
      </c>
      <c r="AC196" s="491"/>
      <c r="AD196" s="491"/>
      <c r="AE196" s="491"/>
      <c r="AF196" s="416"/>
    </row>
    <row r="197" spans="17:32" ht="19.5" customHeight="1">
      <c r="Q197" s="491"/>
      <c r="R197" s="491"/>
      <c r="S197" s="585"/>
      <c r="T197" s="443"/>
      <c r="U197" s="491"/>
      <c r="V197" s="491"/>
      <c r="Y197" s="535" t="s">
        <v>406</v>
      </c>
      <c r="Z197" s="602">
        <f>2!D29</f>
        <v>0.49</v>
      </c>
      <c r="AA197" s="589" t="s">
        <v>407</v>
      </c>
      <c r="AB197" s="601">
        <f>2!E29</f>
        <v>0.19808623793074442</v>
      </c>
      <c r="AC197" s="491"/>
      <c r="AD197" s="491"/>
      <c r="AE197" s="491"/>
      <c r="AF197" s="416"/>
    </row>
    <row r="198" spans="17:32" ht="19.5" customHeight="1">
      <c r="Q198" s="491"/>
      <c r="R198" s="491"/>
      <c r="S198" s="585"/>
      <c r="T198" s="585"/>
      <c r="U198" s="491"/>
      <c r="V198" s="491"/>
      <c r="W198" s="491"/>
      <c r="X198" s="491"/>
      <c r="Y198" s="491"/>
      <c r="Z198" s="491"/>
      <c r="AA198" s="585"/>
      <c r="AB198" s="585"/>
      <c r="AC198" s="491"/>
      <c r="AD198" s="491"/>
      <c r="AE198" s="491"/>
      <c r="AF198" s="416"/>
    </row>
    <row r="199" spans="17:32" ht="19.5" customHeight="1">
      <c r="Q199" s="491"/>
      <c r="R199" s="491"/>
      <c r="S199" s="585"/>
      <c r="T199" s="585"/>
      <c r="U199" s="491"/>
      <c r="V199" s="491"/>
      <c r="W199" s="491"/>
      <c r="X199" s="491"/>
      <c r="Y199" s="532" t="s">
        <v>385</v>
      </c>
      <c r="Z199" s="533">
        <f>$Z$197-1</f>
        <v>-0.51</v>
      </c>
      <c r="AA199" s="586"/>
      <c r="AB199" s="546" t="s">
        <v>386</v>
      </c>
      <c r="AC199" s="584">
        <f>$AB$197-1</f>
        <v>-0.8019137620692556</v>
      </c>
      <c r="AE199" s="491"/>
      <c r="AF199" s="416"/>
    </row>
    <row r="200" spans="17:32" ht="19.5" customHeight="1">
      <c r="Q200" s="491"/>
      <c r="R200" s="491"/>
      <c r="S200" s="443"/>
      <c r="T200" s="585"/>
      <c r="U200" s="491"/>
      <c r="V200" s="491"/>
      <c r="W200" s="491"/>
      <c r="X200" s="491"/>
      <c r="AA200" s="585"/>
      <c r="AB200" s="585"/>
      <c r="AC200" s="585"/>
      <c r="AD200" s="491"/>
      <c r="AE200" s="491"/>
      <c r="AF200" s="416"/>
    </row>
    <row r="201" spans="17:32" ht="19.5" customHeight="1">
      <c r="Q201" s="491"/>
      <c r="R201" s="491"/>
      <c r="S201" s="585"/>
      <c r="T201" s="585"/>
      <c r="U201" s="491"/>
      <c r="V201" s="491"/>
      <c r="W201" s="491"/>
      <c r="X201" s="491"/>
      <c r="Y201" s="532" t="s">
        <v>455</v>
      </c>
      <c r="Z201" s="533">
        <f>2/Z196*(PI()/2-AB205/AD194)-PI()/3</f>
        <v>-0.8112954110661595</v>
      </c>
      <c r="AA201" s="585"/>
      <c r="AB201" s="546" t="s">
        <v>456</v>
      </c>
      <c r="AC201" s="584">
        <f>2/AB196*(PI()/2-AB205/AD194)-PI()/3</f>
        <v>-0.9882220161639881</v>
      </c>
      <c r="AD201" s="491"/>
      <c r="AE201" s="491"/>
      <c r="AF201" s="416"/>
    </row>
    <row r="202" spans="17:32" ht="19.5" customHeight="1">
      <c r="Q202" s="491"/>
      <c r="R202" s="491"/>
      <c r="S202" s="585"/>
      <c r="T202" s="585"/>
      <c r="U202" s="491"/>
      <c r="V202" s="491"/>
      <c r="W202" s="491"/>
      <c r="X202" s="491"/>
      <c r="Y202" s="491"/>
      <c r="Z202" s="491"/>
      <c r="AA202" s="585"/>
      <c r="AB202" s="585"/>
      <c r="AC202" s="491"/>
      <c r="AD202" s="491"/>
      <c r="AE202" s="491"/>
      <c r="AF202" s="416"/>
    </row>
    <row r="203" spans="17:32" ht="19.5" customHeight="1">
      <c r="Q203" s="491"/>
      <c r="R203" s="491"/>
      <c r="S203" s="585"/>
      <c r="T203" s="443"/>
      <c r="U203" s="491"/>
      <c r="V203" s="491"/>
      <c r="Y203" s="491"/>
      <c r="Z203" s="491"/>
      <c r="AA203" s="585"/>
      <c r="AB203" s="585"/>
      <c r="AC203" s="491"/>
      <c r="AD203" s="491"/>
      <c r="AE203" s="491"/>
      <c r="AF203" s="416"/>
    </row>
    <row r="204" spans="17:32" ht="19.5" customHeight="1">
      <c r="Q204" s="491"/>
      <c r="R204" s="491"/>
      <c r="S204" s="585"/>
      <c r="T204" s="443"/>
      <c r="U204" s="491"/>
      <c r="V204" s="491"/>
      <c r="Y204" s="491"/>
      <c r="Z204" s="491"/>
      <c r="AA204" s="585"/>
      <c r="AB204" s="585"/>
      <c r="AC204" s="491"/>
      <c r="AD204" s="491"/>
      <c r="AE204" s="491"/>
      <c r="AF204" s="416"/>
    </row>
    <row r="205" spans="17:32" ht="19.5" customHeight="1">
      <c r="Q205" s="491"/>
      <c r="R205" s="491"/>
      <c r="S205" s="585"/>
      <c r="T205" s="585"/>
      <c r="U205" s="491"/>
      <c r="V205" s="491"/>
      <c r="W205" s="491"/>
      <c r="X205" s="491"/>
      <c r="AA205" s="589" t="s">
        <v>257</v>
      </c>
      <c r="AB205" s="588">
        <f>PI()/4*AD194-AB209*Z194-(1-AB194)*AB207/X194</f>
        <v>0.46615045803680366</v>
      </c>
      <c r="AC205" s="491"/>
      <c r="AD205" s="491"/>
      <c r="AE205" s="491"/>
      <c r="AF205" s="416"/>
    </row>
    <row r="206" ht="19.5" customHeight="1"/>
    <row r="207" spans="27:28" ht="19.5" customHeight="1">
      <c r="AA207" s="596" t="s">
        <v>389</v>
      </c>
      <c r="AB207" s="588">
        <f>0.25*AD194</f>
        <v>0.75</v>
      </c>
    </row>
    <row r="208" spans="1:27" ht="19.5" customHeight="1">
      <c r="A208" s="240"/>
      <c r="B208" s="240"/>
      <c r="G208" s="1"/>
      <c r="H208" s="1"/>
      <c r="N208" s="242"/>
      <c r="O208" s="314"/>
      <c r="P208" s="314"/>
      <c r="AA208" s="597"/>
    </row>
    <row r="209" spans="1:28" ht="19.5" customHeight="1">
      <c r="A209" s="240"/>
      <c r="B209" s="240"/>
      <c r="G209" s="1"/>
      <c r="H209" s="1"/>
      <c r="N209" s="242"/>
      <c r="O209" s="314"/>
      <c r="P209" s="314"/>
      <c r="AA209" s="589" t="s">
        <v>457</v>
      </c>
      <c r="AB209" s="588">
        <f>1.25*AD194</f>
        <v>3.75</v>
      </c>
    </row>
    <row r="210" spans="15:30" ht="19.5" customHeight="1" thickBot="1">
      <c r="O210" s="314"/>
      <c r="P210" s="314"/>
      <c r="AD210" s="245"/>
    </row>
    <row r="211" spans="17:30" ht="19.5" customHeight="1" thickBot="1">
      <c r="Q211" s="245"/>
      <c r="R211" s="245"/>
      <c r="S211" s="443"/>
      <c r="T211" s="714" t="str">
        <f>3!B14</f>
        <v>Çentik faktörü</v>
      </c>
      <c r="U211" s="714"/>
      <c r="V211" s="714"/>
      <c r="W211" s="578" t="s">
        <v>288</v>
      </c>
      <c r="X211" s="245"/>
      <c r="Y211" s="571" t="s">
        <v>458</v>
      </c>
      <c r="Z211" s="579">
        <f>(1.2+0.13*Z213)*Z215^(1/(1.21+(2.3/Z213)))</f>
        <v>1.7721552607458395</v>
      </c>
      <c r="AA211" s="598"/>
      <c r="AC211" s="571" t="s">
        <v>459</v>
      </c>
      <c r="AD211" s="579">
        <f>(1.2+0.13*AC213)*AC215^(1/(1.21+2.3/AC213))</f>
        <v>1.992533283485495</v>
      </c>
    </row>
    <row r="212" spans="17:29" ht="19.5" customHeight="1">
      <c r="Q212" s="245"/>
      <c r="R212" s="245"/>
      <c r="S212" s="443"/>
      <c r="T212" s="443"/>
      <c r="U212" s="245"/>
      <c r="V212" s="245"/>
      <c r="W212" s="245"/>
      <c r="X212" s="245"/>
      <c r="Y212" s="245"/>
      <c r="Z212" s="245"/>
      <c r="AA212" s="443"/>
      <c r="AB212" s="443"/>
      <c r="AC212" s="245"/>
    </row>
    <row r="213" spans="17:29" ht="19.5" customHeight="1">
      <c r="Q213" s="245"/>
      <c r="R213" s="245"/>
      <c r="S213" s="443"/>
      <c r="T213" s="443"/>
      <c r="U213" s="245"/>
      <c r="V213" s="245"/>
      <c r="W213" s="245"/>
      <c r="X213" s="245"/>
      <c r="Y213" s="560" t="s">
        <v>460</v>
      </c>
      <c r="Z213" s="454">
        <f>Z217/Z228</f>
        <v>1.0554422329037416</v>
      </c>
      <c r="AA213" s="598"/>
      <c r="AB213" s="599" t="s">
        <v>461</v>
      </c>
      <c r="AC213" s="454">
        <f>AD217/AD228</f>
        <v>1.1826995491696415</v>
      </c>
    </row>
    <row r="214" spans="17:29" ht="19.5" customHeight="1">
      <c r="Q214" s="245"/>
      <c r="R214" s="245"/>
      <c r="S214" s="443"/>
      <c r="T214" s="443"/>
      <c r="U214" s="245"/>
      <c r="V214" s="245"/>
      <c r="W214" s="245"/>
      <c r="X214" s="245"/>
      <c r="Y214" s="245"/>
      <c r="Z214" s="245"/>
      <c r="AA214" s="443"/>
      <c r="AB214" s="443"/>
      <c r="AC214" s="245"/>
    </row>
    <row r="215" spans="17:29" ht="19.5" customHeight="1">
      <c r="Q215" s="245"/>
      <c r="R215" s="245"/>
      <c r="S215" s="443"/>
      <c r="T215" s="443"/>
      <c r="U215" s="245"/>
      <c r="V215" s="245"/>
      <c r="W215" s="245"/>
      <c r="X215" s="245"/>
      <c r="Y215" s="560" t="s">
        <v>462</v>
      </c>
      <c r="Z215" s="454">
        <f>Z217/2/Z219</f>
        <v>2.597209206770477</v>
      </c>
      <c r="AA215" s="598"/>
      <c r="AB215" s="599" t="s">
        <v>463</v>
      </c>
      <c r="AC215" s="454">
        <f>AD217/2/AD219</f>
        <v>3.3850885139281415</v>
      </c>
    </row>
    <row r="216" spans="17:29" ht="19.5" customHeight="1" thickBot="1">
      <c r="Q216" s="245"/>
      <c r="R216" s="245"/>
      <c r="S216" s="443"/>
      <c r="T216" s="443"/>
      <c r="U216" s="245"/>
      <c r="V216" s="245"/>
      <c r="W216" s="245"/>
      <c r="X216" s="245"/>
      <c r="Y216" s="245"/>
      <c r="Z216" s="245"/>
      <c r="AA216" s="443"/>
      <c r="AB216" s="443"/>
      <c r="AC216" s="245"/>
    </row>
    <row r="217" spans="17:30" ht="19.5" customHeight="1" thickBot="1">
      <c r="Q217" s="245"/>
      <c r="R217" s="245"/>
      <c r="S217" s="443"/>
      <c r="T217" s="443"/>
      <c r="U217" s="245"/>
      <c r="V217" s="245"/>
      <c r="W217" s="245"/>
      <c r="X217" s="245"/>
      <c r="Y217" s="574" t="s">
        <v>501</v>
      </c>
      <c r="Z217" s="577">
        <f>Z222*AA46</f>
        <v>6.2606899977337385</v>
      </c>
      <c r="AA217" s="443"/>
      <c r="AC217" s="574" t="s">
        <v>502</v>
      </c>
      <c r="AD217" s="577">
        <f>AC222*AD46</f>
        <v>6.9250469017285585</v>
      </c>
    </row>
    <row r="218" spans="17:30" ht="19.5" customHeight="1" thickBot="1">
      <c r="Q218" s="245"/>
      <c r="R218" s="245"/>
      <c r="S218" s="443"/>
      <c r="T218" s="443"/>
      <c r="U218" s="245"/>
      <c r="V218" s="245"/>
      <c r="W218" s="245"/>
      <c r="X218" s="245"/>
      <c r="Y218" s="245"/>
      <c r="Z218" s="245"/>
      <c r="AA218" s="443"/>
      <c r="AC218" s="443"/>
      <c r="AD218" s="245"/>
    </row>
    <row r="219" spans="17:30" ht="19.5" customHeight="1" thickBot="1">
      <c r="Q219" s="245"/>
      <c r="R219" s="245"/>
      <c r="S219" s="443"/>
      <c r="T219" s="443"/>
      <c r="U219" s="245"/>
      <c r="V219" s="245"/>
      <c r="W219" s="245"/>
      <c r="X219" s="245"/>
      <c r="Y219" s="576" t="s">
        <v>464</v>
      </c>
      <c r="Z219" s="577">
        <f>Z221+2*Z222*Z223^2/Z224/(Z225*Z224^2-2*Z223)</f>
        <v>1.2052725636065815</v>
      </c>
      <c r="AA219" s="598"/>
      <c r="AC219" s="576" t="s">
        <v>465</v>
      </c>
      <c r="AD219" s="577">
        <f>AC221+2*AC222*AC223^2/AC224/(AC225*AC224^2-2*AC223)</f>
        <v>1.0228753063967109</v>
      </c>
    </row>
    <row r="220" spans="17:29" ht="19.5" customHeight="1">
      <c r="Q220" s="245"/>
      <c r="R220" s="245"/>
      <c r="S220" s="443"/>
      <c r="T220" s="443"/>
      <c r="U220" s="245"/>
      <c r="V220" s="245"/>
      <c r="W220" s="245"/>
      <c r="X220" s="245"/>
      <c r="Y220" s="245"/>
      <c r="Z220" s="245"/>
      <c r="AA220" s="443"/>
      <c r="AB220" s="443"/>
      <c r="AC220" s="245"/>
    </row>
    <row r="221" spans="17:29" ht="19.5" customHeight="1">
      <c r="Q221" s="245"/>
      <c r="R221" s="245"/>
      <c r="S221" s="443"/>
      <c r="T221" s="443"/>
      <c r="U221" s="245"/>
      <c r="V221" s="245"/>
      <c r="W221" s="245"/>
      <c r="X221" s="245"/>
      <c r="Y221" s="499" t="s">
        <v>389</v>
      </c>
      <c r="Z221" s="534">
        <f>AA56</f>
        <v>0.75</v>
      </c>
      <c r="AA221" s="443"/>
      <c r="AB221" s="600" t="s">
        <v>389</v>
      </c>
      <c r="AC221" s="245">
        <f>Z221</f>
        <v>0.75</v>
      </c>
    </row>
    <row r="222" spans="17:29" ht="19.5" customHeight="1">
      <c r="Q222" s="245"/>
      <c r="R222" s="245"/>
      <c r="S222" s="443"/>
      <c r="T222" s="443"/>
      <c r="U222" s="245"/>
      <c r="V222" s="245"/>
      <c r="W222" s="245"/>
      <c r="X222" s="245"/>
      <c r="Y222" s="499" t="s">
        <v>308</v>
      </c>
      <c r="Z222" s="245">
        <f>2!D7</f>
        <v>3</v>
      </c>
      <c r="AA222" s="443"/>
      <c r="AB222" s="600" t="s">
        <v>308</v>
      </c>
      <c r="AC222" s="245">
        <f>2!D7</f>
        <v>3</v>
      </c>
    </row>
    <row r="223" spans="17:29" ht="19.5" customHeight="1">
      <c r="Q223" s="245"/>
      <c r="R223" s="245"/>
      <c r="S223" s="443"/>
      <c r="T223" s="443"/>
      <c r="U223" s="245"/>
      <c r="V223" s="245"/>
      <c r="W223" s="245"/>
      <c r="X223" s="245"/>
      <c r="Y223" s="499" t="s">
        <v>466</v>
      </c>
      <c r="Z223" s="534">
        <f>AA54</f>
        <v>-0.51</v>
      </c>
      <c r="AA223" s="443"/>
      <c r="AB223" s="600" t="s">
        <v>467</v>
      </c>
      <c r="AC223" s="534">
        <f>AD54</f>
        <v>-0.8019137620692556</v>
      </c>
    </row>
    <row r="224" spans="17:29" ht="19.5" customHeight="1">
      <c r="Q224" s="245"/>
      <c r="R224" s="245"/>
      <c r="S224" s="443"/>
      <c r="T224" s="443"/>
      <c r="U224" s="245"/>
      <c r="V224" s="245"/>
      <c r="W224" s="245"/>
      <c r="X224" s="245"/>
      <c r="Y224" s="499" t="s">
        <v>468</v>
      </c>
      <c r="Z224" s="245">
        <f>COS(AA55)</f>
        <v>0.6704580420304134</v>
      </c>
      <c r="AA224" s="443"/>
      <c r="AB224" s="600" t="s">
        <v>469</v>
      </c>
      <c r="AC224" s="245">
        <f>COS(AD55)</f>
        <v>0.5396960765712155</v>
      </c>
    </row>
    <row r="225" spans="17:29" ht="19.5" customHeight="1">
      <c r="Q225" s="245"/>
      <c r="R225" s="245"/>
      <c r="S225" s="443"/>
      <c r="T225" s="443"/>
      <c r="U225" s="245"/>
      <c r="V225" s="245"/>
      <c r="W225" s="245"/>
      <c r="X225" s="245"/>
      <c r="Y225" s="499" t="s">
        <v>470</v>
      </c>
      <c r="Z225" s="245">
        <f>2!D27</f>
        <v>12</v>
      </c>
      <c r="AA225" s="443"/>
      <c r="AB225" s="600" t="s">
        <v>471</v>
      </c>
      <c r="AC225" s="245">
        <f>2!E27</f>
        <v>48</v>
      </c>
    </row>
    <row r="226" spans="17:29" ht="19.5" customHeight="1">
      <c r="Q226" s="245"/>
      <c r="R226" s="245"/>
      <c r="S226" s="443"/>
      <c r="T226" s="443"/>
      <c r="U226" s="245"/>
      <c r="V226" s="245"/>
      <c r="W226" s="245"/>
      <c r="X226" s="245"/>
      <c r="Y226" s="245"/>
      <c r="Z226" s="245"/>
      <c r="AA226" s="443"/>
      <c r="AB226" s="443"/>
      <c r="AC226" s="245"/>
    </row>
    <row r="227" spans="17:29" ht="19.5" customHeight="1" thickBot="1">
      <c r="Q227" s="245"/>
      <c r="R227" s="245"/>
      <c r="S227" s="443"/>
      <c r="T227" s="443"/>
      <c r="U227" s="245"/>
      <c r="V227" s="245"/>
      <c r="W227" s="245"/>
      <c r="X227" s="245"/>
      <c r="AA227" s="443"/>
      <c r="AB227" s="443"/>
      <c r="AC227" s="245"/>
    </row>
    <row r="228" spans="17:30" ht="19.5" customHeight="1" thickBot="1">
      <c r="Q228" s="245"/>
      <c r="R228" s="245"/>
      <c r="S228" s="443"/>
      <c r="T228" s="443"/>
      <c r="U228" s="245"/>
      <c r="V228" s="245"/>
      <c r="W228" s="245"/>
      <c r="X228" s="245"/>
      <c r="Y228" s="574" t="s">
        <v>500</v>
      </c>
      <c r="Z228" s="575">
        <f>Z222*AA44</f>
        <v>5.931816827633735</v>
      </c>
      <c r="AA228" s="443"/>
      <c r="AC228" s="574" t="s">
        <v>499</v>
      </c>
      <c r="AD228" s="575">
        <f>AC222*AD44</f>
        <v>5.855288358392</v>
      </c>
    </row>
    <row r="229" ht="19.5" customHeight="1"/>
    <row r="230" spans="29:30" ht="19.5" customHeight="1" thickBot="1">
      <c r="AC230" s="1"/>
      <c r="AD230" s="1"/>
    </row>
    <row r="231" spans="17:32" ht="19.5" customHeight="1" thickBot="1">
      <c r="Q231" s="243"/>
      <c r="R231" s="243"/>
      <c r="S231" s="622"/>
      <c r="T231" s="623" t="str">
        <f>3!B23</f>
        <v>Diş dibi form mukavemeti</v>
      </c>
      <c r="U231" s="559"/>
      <c r="V231" s="559"/>
      <c r="W231" s="561" t="s">
        <v>472</v>
      </c>
      <c r="X231" s="245"/>
      <c r="Y231" s="245"/>
      <c r="Z231" s="245"/>
      <c r="AA231" s="443"/>
      <c r="AC231" s="571" t="s">
        <v>497</v>
      </c>
      <c r="AD231" s="572">
        <f>U237*AD242*AD245*AD255*AD258*AD270</f>
        <v>637.7697773674023</v>
      </c>
      <c r="AE231" s="245"/>
      <c r="AF231" s="1"/>
    </row>
    <row r="232" spans="17:32" ht="19.5" customHeight="1" thickBot="1">
      <c r="Q232" s="243"/>
      <c r="R232" s="243"/>
      <c r="S232" s="622"/>
      <c r="T232" s="513"/>
      <c r="U232" s="243"/>
      <c r="V232" s="243"/>
      <c r="W232" s="243"/>
      <c r="X232" s="245"/>
      <c r="Y232" s="243"/>
      <c r="Z232" s="243"/>
      <c r="AA232" s="513"/>
      <c r="AC232" s="513"/>
      <c r="AD232" s="243"/>
      <c r="AE232" s="243"/>
      <c r="AF232" s="1"/>
    </row>
    <row r="233" spans="17:32" ht="19.5" customHeight="1" thickBot="1">
      <c r="Q233" s="243"/>
      <c r="R233" s="243"/>
      <c r="S233" s="622"/>
      <c r="X233" s="245"/>
      <c r="AC233" s="571" t="s">
        <v>498</v>
      </c>
      <c r="AD233" s="572">
        <f>U238*AD242*AD245*AD255*AD258*AD270</f>
        <v>637.7697773674023</v>
      </c>
      <c r="AF233" s="1"/>
    </row>
    <row r="234" spans="17:32" ht="19.5" customHeight="1">
      <c r="Q234" s="243"/>
      <c r="R234" s="243"/>
      <c r="S234" s="622"/>
      <c r="T234" s="443"/>
      <c r="U234" s="245"/>
      <c r="V234" s="245"/>
      <c r="W234" s="245"/>
      <c r="X234" s="245"/>
      <c r="Y234" s="245"/>
      <c r="Z234" s="245"/>
      <c r="AA234" s="443"/>
      <c r="AB234" s="443"/>
      <c r="AC234" s="245"/>
      <c r="AD234" s="245"/>
      <c r="AE234" s="245"/>
      <c r="AF234" s="1"/>
    </row>
    <row r="235" spans="17:32" ht="19.5" customHeight="1">
      <c r="Q235" s="243"/>
      <c r="R235" s="243"/>
      <c r="S235" s="622"/>
      <c r="T235" s="443"/>
      <c r="U235" s="245"/>
      <c r="V235" s="245"/>
      <c r="W235" s="245"/>
      <c r="X235" s="245"/>
      <c r="Y235" s="245"/>
      <c r="Z235" s="243"/>
      <c r="AB235" s="562" t="s">
        <v>474</v>
      </c>
      <c r="AC235" s="484">
        <v>2</v>
      </c>
      <c r="AD235" s="245"/>
      <c r="AE235" s="245"/>
      <c r="AF235" s="1"/>
    </row>
    <row r="236" spans="17:32" ht="19.5" customHeight="1">
      <c r="Q236" s="243"/>
      <c r="R236" s="243"/>
      <c r="S236" s="622"/>
      <c r="T236" s="443"/>
      <c r="U236" s="245"/>
      <c r="V236" s="245"/>
      <c r="W236" s="245"/>
      <c r="X236" s="245"/>
      <c r="Y236" s="245"/>
      <c r="Z236" s="243"/>
      <c r="AB236" s="562" t="s">
        <v>475</v>
      </c>
      <c r="AC236" s="484">
        <f>AD245</f>
        <v>1</v>
      </c>
      <c r="AD236" s="245"/>
      <c r="AE236" s="245"/>
      <c r="AF236" s="1"/>
    </row>
    <row r="237" spans="17:32" ht="19.5" customHeight="1">
      <c r="Q237" s="243"/>
      <c r="R237" s="243"/>
      <c r="S237" s="622"/>
      <c r="T237" s="600" t="s">
        <v>476</v>
      </c>
      <c r="U237" s="560">
        <f>1!L24</f>
        <v>310</v>
      </c>
      <c r="V237" s="243" t="s">
        <v>473</v>
      </c>
      <c r="W237" s="245"/>
      <c r="X237" s="245"/>
      <c r="Y237" s="245"/>
      <c r="Z237" s="243"/>
      <c r="AB237" s="562" t="s">
        <v>477</v>
      </c>
      <c r="AC237" s="484">
        <f>AD255</f>
        <v>1</v>
      </c>
      <c r="AD237" s="245"/>
      <c r="AE237" s="245"/>
      <c r="AF237" s="1"/>
    </row>
    <row r="238" spans="17:32" ht="19.5" customHeight="1">
      <c r="Q238" s="243"/>
      <c r="R238" s="243"/>
      <c r="S238" s="622"/>
      <c r="T238" s="600" t="s">
        <v>478</v>
      </c>
      <c r="U238" s="560">
        <f>1!L25</f>
        <v>310</v>
      </c>
      <c r="V238" s="243" t="s">
        <v>473</v>
      </c>
      <c r="W238" s="245"/>
      <c r="X238" s="245"/>
      <c r="Y238" s="245"/>
      <c r="Z238" s="243"/>
      <c r="AB238" s="562" t="s">
        <v>479</v>
      </c>
      <c r="AC238" s="484">
        <f>AD258</f>
        <v>1.0286609312377457</v>
      </c>
      <c r="AD238" s="245"/>
      <c r="AE238" s="245"/>
      <c r="AF238" s="1"/>
    </row>
    <row r="239" spans="17:32" ht="19.5" customHeight="1">
      <c r="Q239" s="243"/>
      <c r="R239" s="243"/>
      <c r="S239" s="622"/>
      <c r="T239" s="443"/>
      <c r="U239" s="245"/>
      <c r="V239" s="245"/>
      <c r="W239" s="245"/>
      <c r="X239" s="245"/>
      <c r="Y239" s="245"/>
      <c r="Z239" s="243"/>
      <c r="AB239" s="562" t="s">
        <v>480</v>
      </c>
      <c r="AC239" s="563">
        <f>AD270</f>
        <v>1</v>
      </c>
      <c r="AD239" s="245"/>
      <c r="AE239" s="245"/>
      <c r="AF239" s="1"/>
    </row>
    <row r="240" spans="17:32" ht="19.5" customHeight="1">
      <c r="Q240" s="243"/>
      <c r="R240" s="243"/>
      <c r="S240" s="622"/>
      <c r="T240" s="513"/>
      <c r="U240" s="243"/>
      <c r="V240" s="245"/>
      <c r="W240" s="245"/>
      <c r="X240" s="245"/>
      <c r="Y240" s="245"/>
      <c r="Z240" s="245"/>
      <c r="AA240" s="443"/>
      <c r="AB240" s="443"/>
      <c r="AC240" s="245"/>
      <c r="AD240" s="245"/>
      <c r="AE240" s="245"/>
      <c r="AF240" s="1"/>
    </row>
    <row r="241" spans="17:32" ht="19.5" customHeight="1" thickBot="1">
      <c r="Q241" s="243"/>
      <c r="R241" s="243"/>
      <c r="S241" s="622"/>
      <c r="T241" s="513"/>
      <c r="U241" s="243"/>
      <c r="V241" s="245"/>
      <c r="W241" s="245"/>
      <c r="X241" s="245"/>
      <c r="Y241" s="245"/>
      <c r="Z241" s="245"/>
      <c r="AA241" s="443"/>
      <c r="AB241" s="443"/>
      <c r="AC241" s="245"/>
      <c r="AD241" s="245"/>
      <c r="AE241" s="245"/>
      <c r="AF241" s="1"/>
    </row>
    <row r="242" spans="17:32" ht="19.5" customHeight="1" thickBot="1">
      <c r="Q242" s="243"/>
      <c r="R242" s="243"/>
      <c r="S242" s="622"/>
      <c r="T242" s="443"/>
      <c r="U242" s="245"/>
      <c r="V242" s="245"/>
      <c r="W242" s="245"/>
      <c r="X242" s="245"/>
      <c r="Y242" s="245"/>
      <c r="AC242" s="520" t="s">
        <v>474</v>
      </c>
      <c r="AD242" s="525">
        <v>2</v>
      </c>
      <c r="AE242" s="245"/>
      <c r="AF242" s="1"/>
    </row>
    <row r="243" spans="17:32" ht="19.5" customHeight="1">
      <c r="Q243" s="243"/>
      <c r="R243" s="243"/>
      <c r="S243" s="622"/>
      <c r="T243" s="443"/>
      <c r="U243" s="245"/>
      <c r="V243" s="245"/>
      <c r="W243" s="245"/>
      <c r="X243" s="245"/>
      <c r="Y243" s="245"/>
      <c r="Z243" s="245"/>
      <c r="AA243" s="443"/>
      <c r="AB243" s="443"/>
      <c r="AC243" s="245"/>
      <c r="AD243" s="245"/>
      <c r="AE243" s="245"/>
      <c r="AF243" s="1"/>
    </row>
    <row r="244" spans="17:32" ht="19.5" customHeight="1" thickBot="1">
      <c r="Q244" s="243"/>
      <c r="R244" s="243"/>
      <c r="S244" s="622"/>
      <c r="T244" s="443"/>
      <c r="U244" s="245"/>
      <c r="V244" s="245"/>
      <c r="W244" s="245"/>
      <c r="X244" s="245"/>
      <c r="Y244" s="245"/>
      <c r="Z244" s="245"/>
      <c r="AA244" s="443"/>
      <c r="AB244" s="443"/>
      <c r="AC244" s="245"/>
      <c r="AD244" s="245"/>
      <c r="AE244" s="245"/>
      <c r="AF244" s="1"/>
    </row>
    <row r="245" spans="17:32" ht="19.5" customHeight="1" thickBot="1">
      <c r="Q245" s="243"/>
      <c r="R245" s="243"/>
      <c r="S245" s="622"/>
      <c r="T245" s="512" t="str">
        <f>3!B26</f>
        <v>Dayanma süresi faktörü </v>
      </c>
      <c r="U245" s="503"/>
      <c r="V245" s="243" t="s">
        <v>301</v>
      </c>
      <c r="W245" s="243"/>
      <c r="X245" s="452" t="s">
        <v>302</v>
      </c>
      <c r="Y245" s="151">
        <f>1!L17</f>
        <v>3000000</v>
      </c>
      <c r="AC245" s="520" t="s">
        <v>475</v>
      </c>
      <c r="AD245" s="521">
        <f>IF(Y245&lt;999,IF(S252&lt;1.5,X249,IF(S252&lt;2.5,X250,X251)),IF(Y245&gt;2.9999*10^6,AA249,IF(S252&lt;1.5,AC249,IF(S252&lt;2.5,AC250,AC251))))</f>
        <v>1</v>
      </c>
      <c r="AE245" s="245"/>
      <c r="AF245" s="1"/>
    </row>
    <row r="246" spans="17:32" ht="19.5" customHeight="1" thickBot="1">
      <c r="Q246" s="243"/>
      <c r="R246" s="243"/>
      <c r="S246" s="622"/>
      <c r="T246" s="443"/>
      <c r="U246" s="245"/>
      <c r="V246" s="245"/>
      <c r="W246" s="245"/>
      <c r="X246" s="245"/>
      <c r="Y246" s="245"/>
      <c r="Z246" s="245"/>
      <c r="AA246" s="443"/>
      <c r="AB246" s="443"/>
      <c r="AC246" s="245"/>
      <c r="AD246" s="245"/>
      <c r="AE246" s="245"/>
      <c r="AF246" s="1"/>
    </row>
    <row r="247" spans="17:32" ht="19.5" customHeight="1">
      <c r="Q247" s="243"/>
      <c r="R247" s="243"/>
      <c r="S247" s="706" t="s">
        <v>124</v>
      </c>
      <c r="T247" s="653"/>
      <c r="U247" s="653"/>
      <c r="V247" s="653"/>
      <c r="W247" s="653"/>
      <c r="X247" s="653" t="s">
        <v>481</v>
      </c>
      <c r="Y247" s="653"/>
      <c r="Z247" s="653"/>
      <c r="AA247" s="653"/>
      <c r="AB247" s="654"/>
      <c r="AC247" s="243"/>
      <c r="AD247" s="243"/>
      <c r="AE247" s="243"/>
      <c r="AF247" s="1"/>
    </row>
    <row r="248" spans="17:32" ht="39.75" customHeight="1">
      <c r="Q248" s="243"/>
      <c r="R248" s="243"/>
      <c r="S248" s="707"/>
      <c r="T248" s="651"/>
      <c r="U248" s="651"/>
      <c r="V248" s="651"/>
      <c r="W248" s="651"/>
      <c r="X248" s="507" t="s">
        <v>495</v>
      </c>
      <c r="Y248" s="651" t="s">
        <v>482</v>
      </c>
      <c r="Z248" s="651"/>
      <c r="AA248" s="685" t="s">
        <v>496</v>
      </c>
      <c r="AB248" s="752"/>
      <c r="AC248" s="243"/>
      <c r="AD248" s="243"/>
      <c r="AE248" s="243"/>
      <c r="AF248" s="1"/>
    </row>
    <row r="249" spans="17:32" ht="39.75" customHeight="1">
      <c r="Q249" s="243"/>
      <c r="R249" s="243"/>
      <c r="S249" s="718" t="str">
        <f>1!H33</f>
        <v>1 - Demir döküm (GG, GGG)</v>
      </c>
      <c r="T249" s="719"/>
      <c r="U249" s="719"/>
      <c r="V249" s="719"/>
      <c r="W249" s="719"/>
      <c r="X249" s="504">
        <v>1.2</v>
      </c>
      <c r="Y249" s="720"/>
      <c r="Z249" s="720"/>
      <c r="AA249" s="753">
        <v>1</v>
      </c>
      <c r="AB249" s="754"/>
      <c r="AC249" s="505">
        <f>(3*10^6/Y245)^0.012</f>
        <v>1</v>
      </c>
      <c r="AD249" s="243"/>
      <c r="AE249" s="243"/>
      <c r="AF249" s="1"/>
    </row>
    <row r="250" spans="17:32" ht="39.75" customHeight="1">
      <c r="Q250" s="243"/>
      <c r="R250" s="243"/>
      <c r="S250" s="718" t="str">
        <f>1!H34</f>
        <v>2 - Bütün çelikler, (Rm&lt;800 N/mm2, St, GS)</v>
      </c>
      <c r="T250" s="719"/>
      <c r="U250" s="719"/>
      <c r="V250" s="719"/>
      <c r="W250" s="719"/>
      <c r="X250" s="504">
        <v>1.6</v>
      </c>
      <c r="Y250" s="720"/>
      <c r="Z250" s="720"/>
      <c r="AA250" s="753"/>
      <c r="AB250" s="754"/>
      <c r="AC250" s="505">
        <f>(3*10^6/Y245)^0.059</f>
        <v>1</v>
      </c>
      <c r="AD250" s="243"/>
      <c r="AE250" s="243"/>
      <c r="AF250" s="263"/>
    </row>
    <row r="251" spans="17:32" ht="39.75" customHeight="1" thickBot="1">
      <c r="Q251" s="243"/>
      <c r="R251" s="243"/>
      <c r="S251" s="715" t="str">
        <f>1!H35</f>
        <v>3 - Bütün sertleştirilmiş çelikler, (Rm&gt;800 N/mm2)</v>
      </c>
      <c r="T251" s="716"/>
      <c r="U251" s="716"/>
      <c r="V251" s="716"/>
      <c r="W251" s="716"/>
      <c r="X251" s="506">
        <v>2.5</v>
      </c>
      <c r="Y251" s="717"/>
      <c r="Z251" s="717"/>
      <c r="AA251" s="755"/>
      <c r="AB251" s="756"/>
      <c r="AC251" s="505">
        <f>(3*10^6/Y245)^0.115</f>
        <v>1</v>
      </c>
      <c r="AD251" s="243"/>
      <c r="AE251" s="243"/>
      <c r="AF251" s="263"/>
    </row>
    <row r="252" spans="17:32" ht="19.5" customHeight="1">
      <c r="Q252" s="243"/>
      <c r="R252" s="243"/>
      <c r="S252" s="624">
        <f>1!L33</f>
        <v>3</v>
      </c>
      <c r="T252" s="513"/>
      <c r="U252" s="243"/>
      <c r="V252" s="243"/>
      <c r="W252" s="243"/>
      <c r="X252" s="245"/>
      <c r="Y252" s="243"/>
      <c r="Z252" s="243"/>
      <c r="AA252" s="513"/>
      <c r="AB252" s="513"/>
      <c r="AC252" s="243"/>
      <c r="AD252" s="243"/>
      <c r="AE252" s="243"/>
      <c r="AF252" s="263"/>
    </row>
    <row r="253" spans="17:32" ht="19.5" customHeight="1">
      <c r="Q253" s="243"/>
      <c r="R253" s="243"/>
      <c r="S253" s="622"/>
      <c r="T253" s="513"/>
      <c r="U253" s="243"/>
      <c r="V253" s="243"/>
      <c r="W253" s="243"/>
      <c r="X253" s="245"/>
      <c r="Y253" s="243"/>
      <c r="Z253" s="243"/>
      <c r="AA253" s="513"/>
      <c r="AB253" s="513"/>
      <c r="AC253" s="243"/>
      <c r="AD253" s="243"/>
      <c r="AE253" s="243"/>
      <c r="AF253" s="263"/>
    </row>
    <row r="254" spans="17:32" ht="19.5" customHeight="1" thickBot="1">
      <c r="Q254" s="243"/>
      <c r="R254" s="243"/>
      <c r="S254" s="622"/>
      <c r="T254" s="513"/>
      <c r="U254" s="243"/>
      <c r="V254" s="243"/>
      <c r="W254" s="243"/>
      <c r="X254" s="245"/>
      <c r="Y254" s="243"/>
      <c r="Z254" s="243"/>
      <c r="AA254" s="513"/>
      <c r="AB254" s="514"/>
      <c r="AC254" s="502"/>
      <c r="AD254" s="243"/>
      <c r="AE254" s="243"/>
      <c r="AF254" s="263"/>
    </row>
    <row r="255" spans="17:32" ht="19.5" customHeight="1" thickBot="1">
      <c r="Q255" s="243"/>
      <c r="R255" s="243"/>
      <c r="S255" s="622"/>
      <c r="T255" s="513"/>
      <c r="U255" s="243"/>
      <c r="V255" s="243"/>
      <c r="W255" s="243"/>
      <c r="X255" s="245"/>
      <c r="Y255" s="243"/>
      <c r="Z255" s="243"/>
      <c r="AA255" s="513"/>
      <c r="AC255" s="520" t="s">
        <v>543</v>
      </c>
      <c r="AD255" s="525">
        <v>1</v>
      </c>
      <c r="AE255" s="243"/>
      <c r="AF255" s="1"/>
    </row>
    <row r="256" spans="17:32" ht="19.5" customHeight="1">
      <c r="Q256" s="243"/>
      <c r="R256" s="243"/>
      <c r="S256" s="622"/>
      <c r="T256" s="513"/>
      <c r="U256" s="243"/>
      <c r="V256" s="243"/>
      <c r="W256" s="243"/>
      <c r="X256" s="245"/>
      <c r="Y256" s="243"/>
      <c r="Z256" s="243"/>
      <c r="AA256" s="513"/>
      <c r="AB256" s="513"/>
      <c r="AC256" s="243"/>
      <c r="AD256" s="243"/>
      <c r="AE256" s="243"/>
      <c r="AF256" s="263"/>
    </row>
    <row r="257" spans="17:32" ht="19.5" customHeight="1" thickBot="1">
      <c r="Q257" s="243"/>
      <c r="R257" s="243"/>
      <c r="S257" s="622"/>
      <c r="T257" s="513"/>
      <c r="U257" s="243"/>
      <c r="V257" s="243"/>
      <c r="W257" s="243"/>
      <c r="X257" s="245"/>
      <c r="Y257" s="243"/>
      <c r="Z257" s="243"/>
      <c r="AA257" s="513"/>
      <c r="AB257" s="513"/>
      <c r="AC257" s="243"/>
      <c r="AD257" s="243"/>
      <c r="AE257" s="243"/>
      <c r="AF257" s="263"/>
    </row>
    <row r="258" spans="17:32" ht="19.5" customHeight="1" thickBot="1">
      <c r="Q258" s="243"/>
      <c r="R258" s="243"/>
      <c r="S258" s="622"/>
      <c r="T258" s="512" t="str">
        <f>3!B28</f>
        <v>Göreceli yüzey faktörü</v>
      </c>
      <c r="U258" s="503"/>
      <c r="V258" s="243" t="s">
        <v>303</v>
      </c>
      <c r="W258" s="243"/>
      <c r="X258" s="452" t="s">
        <v>212</v>
      </c>
      <c r="Y258" s="151">
        <f>(Z265+AC265)/2</f>
        <v>6.3</v>
      </c>
      <c r="Z258" s="243"/>
      <c r="AA258" s="513"/>
      <c r="AC258" s="520" t="s">
        <v>479</v>
      </c>
      <c r="AD258" s="525">
        <f>IF(Y258&lt;1,IF(S265&lt;1.5,Y262,IF(S265&lt;2.5,Y263,Y264)),IF(S265&lt;1.5,AD262,IF(S265&lt;2.5,AD263,AD264)))</f>
        <v>1.0286609312377457</v>
      </c>
      <c r="AE258" s="243"/>
      <c r="AF258" s="263"/>
    </row>
    <row r="259" spans="17:32" ht="19.5" customHeight="1" thickBot="1">
      <c r="Q259" s="243"/>
      <c r="R259" s="243"/>
      <c r="S259" s="622"/>
      <c r="T259" s="513"/>
      <c r="U259" s="243"/>
      <c r="V259" s="243"/>
      <c r="W259" s="243"/>
      <c r="X259" s="243"/>
      <c r="Y259" s="243"/>
      <c r="Z259" s="243"/>
      <c r="AA259" s="513"/>
      <c r="AB259" s="513"/>
      <c r="AC259" s="243"/>
      <c r="AD259" s="243"/>
      <c r="AE259" s="243"/>
      <c r="AF259" s="263"/>
    </row>
    <row r="260" spans="17:32" ht="19.5" customHeight="1">
      <c r="Q260" s="243"/>
      <c r="R260" s="243"/>
      <c r="S260" s="706" t="s">
        <v>124</v>
      </c>
      <c r="T260" s="653"/>
      <c r="U260" s="653"/>
      <c r="V260" s="653"/>
      <c r="W260" s="653"/>
      <c r="X260" s="728" t="s">
        <v>211</v>
      </c>
      <c r="Y260" s="728"/>
      <c r="Z260" s="728"/>
      <c r="AA260" s="728"/>
      <c r="AB260" s="728"/>
      <c r="AC260" s="729"/>
      <c r="AD260" s="243"/>
      <c r="AE260" s="243"/>
      <c r="AF260" s="263"/>
    </row>
    <row r="261" spans="17:32" ht="19.5" customHeight="1">
      <c r="Q261" s="243"/>
      <c r="R261" s="243"/>
      <c r="S261" s="707"/>
      <c r="T261" s="651"/>
      <c r="U261" s="651"/>
      <c r="V261" s="651"/>
      <c r="W261" s="651"/>
      <c r="X261" s="726" t="s">
        <v>304</v>
      </c>
      <c r="Y261" s="726"/>
      <c r="Z261" s="726" t="s">
        <v>305</v>
      </c>
      <c r="AA261" s="726"/>
      <c r="AB261" s="726"/>
      <c r="AC261" s="727"/>
      <c r="AD261" s="243"/>
      <c r="AE261" s="243"/>
      <c r="AF261" s="263"/>
    </row>
    <row r="262" spans="17:32" ht="24.75" customHeight="1">
      <c r="Q262" s="243"/>
      <c r="R262" s="243"/>
      <c r="S262" s="708" t="str">
        <f>1!H33</f>
        <v>1 - Demir döküm (GG, GGG)</v>
      </c>
      <c r="T262" s="709"/>
      <c r="U262" s="709"/>
      <c r="V262" s="709"/>
      <c r="W262" s="709"/>
      <c r="X262" s="508" t="s">
        <v>306</v>
      </c>
      <c r="Y262" s="509">
        <v>1.025</v>
      </c>
      <c r="Z262" s="720"/>
      <c r="AA262" s="720"/>
      <c r="AB262" s="720"/>
      <c r="AC262" s="724"/>
      <c r="AD262" s="505">
        <f>4.299-3.259*(Y258+1)^0.005</f>
        <v>1.0074460727071104</v>
      </c>
      <c r="AE262" s="243"/>
      <c r="AF262" s="264"/>
    </row>
    <row r="263" spans="17:31" ht="24.75" customHeight="1">
      <c r="Q263" s="243"/>
      <c r="R263" s="243"/>
      <c r="S263" s="708" t="str">
        <f>1!H34</f>
        <v>2 - Bütün çelikler, (Rm&lt;800 N/mm2, St, GS)</v>
      </c>
      <c r="T263" s="709"/>
      <c r="U263" s="709"/>
      <c r="V263" s="709"/>
      <c r="W263" s="709"/>
      <c r="X263" s="508" t="s">
        <v>306</v>
      </c>
      <c r="Y263" s="509">
        <v>1.07</v>
      </c>
      <c r="Z263" s="720"/>
      <c r="AA263" s="720"/>
      <c r="AB263" s="720"/>
      <c r="AC263" s="724"/>
      <c r="AD263" s="505">
        <f>5.306-4.203*(Y258+1)^0.01</f>
        <v>1.0186136729271453</v>
      </c>
      <c r="AE263" s="245"/>
    </row>
    <row r="264" spans="17:31" ht="24.75" customHeight="1" thickBot="1">
      <c r="Q264" s="243"/>
      <c r="R264" s="243"/>
      <c r="S264" s="710" t="str">
        <f>1!H35</f>
        <v>3 - Bütün sertleştirilmiş çelikler, (Rm&gt;800 N/mm2)</v>
      </c>
      <c r="T264" s="711"/>
      <c r="U264" s="711"/>
      <c r="V264" s="711"/>
      <c r="W264" s="711"/>
      <c r="X264" s="510" t="s">
        <v>306</v>
      </c>
      <c r="Y264" s="511">
        <v>1.12</v>
      </c>
      <c r="Z264" s="717"/>
      <c r="AA264" s="717"/>
      <c r="AB264" s="717"/>
      <c r="AC264" s="757"/>
      <c r="AD264" s="505">
        <f>1.674-0.529*(Y258+1)^0.1</f>
        <v>1.0286609312377457</v>
      </c>
      <c r="AE264" s="243"/>
    </row>
    <row r="265" spans="17:32" ht="19.5" customHeight="1">
      <c r="Q265" s="243"/>
      <c r="R265" s="243"/>
      <c r="S265" s="624">
        <f>1!L33</f>
        <v>3</v>
      </c>
      <c r="T265" s="513"/>
      <c r="U265" s="243"/>
      <c r="V265" s="243"/>
      <c r="W265" s="227"/>
      <c r="X265" s="227"/>
      <c r="Y265" s="452" t="s">
        <v>493</v>
      </c>
      <c r="Z265" s="151">
        <f>1!F29</f>
        <v>6.3</v>
      </c>
      <c r="AA265" s="513"/>
      <c r="AB265" s="514" t="s">
        <v>494</v>
      </c>
      <c r="AC265" s="151">
        <f>1!F30</f>
        <v>6.3</v>
      </c>
      <c r="AD265" s="243"/>
      <c r="AE265" s="243"/>
      <c r="AF265" s="263"/>
    </row>
    <row r="266" spans="17:32" ht="19.5" customHeight="1">
      <c r="Q266" s="243"/>
      <c r="R266" s="243"/>
      <c r="S266" s="513"/>
      <c r="T266" s="513"/>
      <c r="U266" s="243"/>
      <c r="V266" s="243"/>
      <c r="W266" s="243"/>
      <c r="X266" s="243"/>
      <c r="Y266" s="243"/>
      <c r="Z266" s="243"/>
      <c r="AA266" s="513"/>
      <c r="AB266" s="513"/>
      <c r="AC266" s="243"/>
      <c r="AD266" s="243"/>
      <c r="AE266" s="243"/>
      <c r="AF266" s="263"/>
    </row>
    <row r="267" spans="17:32" ht="19.5" customHeight="1">
      <c r="Q267" s="243"/>
      <c r="R267" s="243"/>
      <c r="S267" s="513"/>
      <c r="T267" s="513"/>
      <c r="U267" s="243"/>
      <c r="V267" s="243"/>
      <c r="W267" s="243"/>
      <c r="X267" s="243"/>
      <c r="Y267" s="243"/>
      <c r="Z267" s="243"/>
      <c r="AA267" s="513"/>
      <c r="AB267" s="513"/>
      <c r="AC267" s="243"/>
      <c r="AD267" s="243"/>
      <c r="AE267" s="243"/>
      <c r="AF267" s="263"/>
    </row>
    <row r="268" spans="17:32" ht="19.5" customHeight="1">
      <c r="Q268" s="245"/>
      <c r="R268" s="245"/>
      <c r="S268" s="443"/>
      <c r="T268" s="443"/>
      <c r="U268" s="245"/>
      <c r="V268" s="245"/>
      <c r="W268" s="245"/>
      <c r="X268" s="245"/>
      <c r="Y268" s="245"/>
      <c r="Z268" s="245"/>
      <c r="AA268" s="443"/>
      <c r="AB268" s="443"/>
      <c r="AC268" s="245"/>
      <c r="AD268" s="245"/>
      <c r="AE268" s="245"/>
      <c r="AF268" s="263"/>
    </row>
    <row r="269" spans="17:32" ht="19.5" customHeight="1" thickBot="1">
      <c r="Q269" s="245"/>
      <c r="R269" s="245"/>
      <c r="S269" s="443"/>
      <c r="T269" s="443"/>
      <c r="U269" s="245"/>
      <c r="V269" s="245"/>
      <c r="W269" s="245"/>
      <c r="X269" s="245"/>
      <c r="Y269" s="245"/>
      <c r="Z269" s="245"/>
      <c r="AA269" s="443"/>
      <c r="AB269" s="443"/>
      <c r="AC269" s="245"/>
      <c r="AD269" s="245"/>
      <c r="AE269" s="245"/>
      <c r="AF269" s="263"/>
    </row>
    <row r="270" spans="17:32" ht="19.5" customHeight="1" thickBot="1">
      <c r="Q270" s="245"/>
      <c r="R270" s="245"/>
      <c r="S270" s="443"/>
      <c r="T270" s="512" t="str">
        <f>3!H31</f>
        <v>Büyüklük faktörü</v>
      </c>
      <c r="U270" s="512"/>
      <c r="V270" s="513" t="s">
        <v>307</v>
      </c>
      <c r="W270" s="514" t="s">
        <v>308</v>
      </c>
      <c r="X270" s="569">
        <f>1!F19</f>
        <v>3</v>
      </c>
      <c r="Y270" s="243"/>
      <c r="Z270" s="243"/>
      <c r="AA270" s="513"/>
      <c r="AC270" s="520" t="s">
        <v>480</v>
      </c>
      <c r="AD270" s="521">
        <f>IF(S277&lt;1.5,AD274,IF(S277&lt;2.5,AD275,AD276))</f>
        <v>1</v>
      </c>
      <c r="AE270" s="245"/>
      <c r="AF270" s="263"/>
    </row>
    <row r="271" spans="17:32" ht="19.5" customHeight="1" thickBot="1">
      <c r="Q271" s="245"/>
      <c r="R271" s="245"/>
      <c r="S271" s="443"/>
      <c r="T271" s="443"/>
      <c r="U271" s="245"/>
      <c r="V271" s="245"/>
      <c r="W271" s="245"/>
      <c r="X271" s="245"/>
      <c r="Y271" s="245"/>
      <c r="Z271" s="245"/>
      <c r="AA271" s="443"/>
      <c r="AB271" s="443"/>
      <c r="AC271" s="245"/>
      <c r="AD271" s="245"/>
      <c r="AE271" s="245"/>
      <c r="AF271" s="263"/>
    </row>
    <row r="272" spans="17:32" ht="19.5" customHeight="1">
      <c r="Q272" s="243"/>
      <c r="R272" s="243"/>
      <c r="S272" s="706" t="s">
        <v>124</v>
      </c>
      <c r="T272" s="653"/>
      <c r="U272" s="653"/>
      <c r="V272" s="653"/>
      <c r="W272" s="653"/>
      <c r="X272" s="653" t="s">
        <v>125</v>
      </c>
      <c r="Y272" s="653"/>
      <c r="Z272" s="653"/>
      <c r="AA272" s="653"/>
      <c r="AB272" s="653"/>
      <c r="AC272" s="654"/>
      <c r="AD272" s="245"/>
      <c r="AE272" s="245"/>
      <c r="AF272" s="263"/>
    </row>
    <row r="273" spans="17:32" ht="19.5" customHeight="1">
      <c r="Q273" s="243"/>
      <c r="R273" s="243"/>
      <c r="S273" s="707"/>
      <c r="T273" s="651"/>
      <c r="U273" s="651"/>
      <c r="V273" s="651"/>
      <c r="W273" s="651"/>
      <c r="X273" s="507" t="s">
        <v>309</v>
      </c>
      <c r="Y273" s="651" t="s">
        <v>310</v>
      </c>
      <c r="Z273" s="651"/>
      <c r="AA273" s="651"/>
      <c r="AB273" s="651"/>
      <c r="AC273" s="516" t="s">
        <v>311</v>
      </c>
      <c r="AD273" s="243"/>
      <c r="AE273" s="243"/>
      <c r="AF273" s="263"/>
    </row>
    <row r="274" spans="17:32" ht="19.5" customHeight="1">
      <c r="Q274" s="243"/>
      <c r="R274" s="243"/>
      <c r="S274" s="708" t="str">
        <f>1!H33</f>
        <v>1 - Demir döküm (GG, GGG)</v>
      </c>
      <c r="T274" s="709"/>
      <c r="U274" s="709"/>
      <c r="V274" s="709"/>
      <c r="W274" s="709"/>
      <c r="X274" s="651" t="s">
        <v>312</v>
      </c>
      <c r="Y274" s="651" t="s">
        <v>313</v>
      </c>
      <c r="Z274" s="651"/>
      <c r="AA274" s="651"/>
      <c r="AB274" s="651"/>
      <c r="AC274" s="516" t="s">
        <v>314</v>
      </c>
      <c r="AD274" s="505">
        <f>IF(X270&lt;5,1,IF(X270&gt;25,0.7,1.075-0.015*X270))</f>
        <v>1</v>
      </c>
      <c r="AE274" s="243"/>
      <c r="AF274" s="263"/>
    </row>
    <row r="275" spans="17:32" ht="19.5" customHeight="1">
      <c r="Q275" s="243"/>
      <c r="R275" s="243"/>
      <c r="S275" s="708" t="str">
        <f>1!H34</f>
        <v>2 - Bütün çelikler, (Rm&lt;800 N/mm2, St, GS)</v>
      </c>
      <c r="T275" s="709"/>
      <c r="U275" s="709"/>
      <c r="V275" s="709"/>
      <c r="W275" s="709"/>
      <c r="X275" s="651"/>
      <c r="Y275" s="651" t="s">
        <v>315</v>
      </c>
      <c r="Z275" s="651"/>
      <c r="AA275" s="651"/>
      <c r="AB275" s="651"/>
      <c r="AC275" s="516" t="s">
        <v>316</v>
      </c>
      <c r="AD275" s="517">
        <f>IF(X270&lt;5,1,IF(X270&gt;25,0.85,1.03-0.006*X270))</f>
        <v>1</v>
      </c>
      <c r="AE275" s="243"/>
      <c r="AF275" s="1"/>
    </row>
    <row r="276" spans="17:32" ht="19.5" customHeight="1" thickBot="1">
      <c r="Q276" s="243"/>
      <c r="R276" s="243"/>
      <c r="S276" s="710" t="str">
        <f>1!H35</f>
        <v>3 - Bütün sertleştirilmiş çelikler, (Rm&gt;800 N/mm2)</v>
      </c>
      <c r="T276" s="711"/>
      <c r="U276" s="711"/>
      <c r="V276" s="711"/>
      <c r="W276" s="711"/>
      <c r="X276" s="652"/>
      <c r="Y276" s="652" t="s">
        <v>317</v>
      </c>
      <c r="Z276" s="652"/>
      <c r="AA276" s="652"/>
      <c r="AB276" s="652"/>
      <c r="AC276" s="518" t="s">
        <v>318</v>
      </c>
      <c r="AD276" s="517">
        <f>IF(X270&lt;5,1,IF(X270&gt;25,0.8,1.05-0.01*X270))</f>
        <v>1</v>
      </c>
      <c r="AE276" s="243"/>
      <c r="AF276" s="1"/>
    </row>
    <row r="277" spans="17:32" ht="19.5" customHeight="1">
      <c r="Q277" s="243"/>
      <c r="R277" s="243"/>
      <c r="S277" s="625">
        <f>1!L33</f>
        <v>3</v>
      </c>
      <c r="T277" s="513"/>
      <c r="U277" s="243"/>
      <c r="V277" s="243"/>
      <c r="W277" s="243"/>
      <c r="X277" s="243"/>
      <c r="Y277" s="243"/>
      <c r="Z277" s="243"/>
      <c r="AA277" s="513"/>
      <c r="AB277" s="513"/>
      <c r="AC277" s="243"/>
      <c r="AD277" s="243"/>
      <c r="AE277" s="243"/>
      <c r="AF277" s="1"/>
    </row>
    <row r="278" spans="17:32" ht="19.5" customHeight="1">
      <c r="Q278" s="243"/>
      <c r="R278" s="243"/>
      <c r="S278" s="513"/>
      <c r="T278" s="513"/>
      <c r="U278" s="243"/>
      <c r="V278" s="243"/>
      <c r="W278" s="243"/>
      <c r="X278" s="243"/>
      <c r="Y278" s="243"/>
      <c r="Z278" s="243"/>
      <c r="AA278" s="513"/>
      <c r="AB278" s="513"/>
      <c r="AC278" s="243"/>
      <c r="AD278" s="243"/>
      <c r="AE278" s="243"/>
      <c r="AF278" s="1"/>
    </row>
    <row r="279" spans="28:30" ht="19.5" customHeight="1" thickBot="1">
      <c r="AB279" s="513"/>
      <c r="AC279" s="1"/>
      <c r="AD279" s="1"/>
    </row>
    <row r="280" spans="20:30" ht="19.5" customHeight="1" thickBot="1">
      <c r="T280" s="626" t="str">
        <f>3!H17</f>
        <v>İşletmede Hertz basıncı</v>
      </c>
      <c r="U280" s="494"/>
      <c r="V280" s="494"/>
      <c r="W280" s="268" t="s">
        <v>492</v>
      </c>
      <c r="X280" s="245"/>
      <c r="AC280" s="568" t="s">
        <v>298</v>
      </c>
      <c r="AD280" s="570">
        <f>AD288*(AC282*AC283*AC284*AC285)^0.5</f>
        <v>8179.922927011402</v>
      </c>
    </row>
    <row r="281" ht="19.5" customHeight="1"/>
    <row r="282" spans="28:29" ht="19.5" customHeight="1">
      <c r="AB282" s="593" t="s">
        <v>292</v>
      </c>
      <c r="AC282" s="484">
        <f>5!O5</f>
        <v>1.25</v>
      </c>
    </row>
    <row r="283" spans="28:31" ht="19.5" customHeight="1">
      <c r="AB283" s="593" t="s">
        <v>293</v>
      </c>
      <c r="AC283" s="484">
        <f>AD94</f>
        <v>1.0001912641900794</v>
      </c>
      <c r="AD283" s="243"/>
      <c r="AE283" s="243"/>
    </row>
    <row r="284" spans="28:31" ht="19.5" customHeight="1">
      <c r="AB284" s="593" t="s">
        <v>490</v>
      </c>
      <c r="AC284" s="484">
        <f>AD84</f>
        <v>1.0321781048295486</v>
      </c>
      <c r="AD284" s="243"/>
      <c r="AE284" s="243"/>
    </row>
    <row r="285" spans="27:31" ht="19.5" customHeight="1">
      <c r="AA285" s="513"/>
      <c r="AB285" s="593" t="s">
        <v>491</v>
      </c>
      <c r="AC285" s="484">
        <f>AD160</f>
        <v>1.1</v>
      </c>
      <c r="AD285" s="243"/>
      <c r="AE285" s="243"/>
    </row>
    <row r="286" spans="20:31" ht="19.5" customHeight="1">
      <c r="T286" s="513"/>
      <c r="U286" s="243"/>
      <c r="V286" s="243"/>
      <c r="W286" s="243"/>
      <c r="X286" s="243"/>
      <c r="Y286" s="243"/>
      <c r="Z286" s="243"/>
      <c r="AA286" s="513"/>
      <c r="AC286" s="243"/>
      <c r="AD286" s="243"/>
      <c r="AE286" s="243"/>
    </row>
    <row r="287" spans="29:31" ht="19.5" customHeight="1" thickBot="1">
      <c r="AC287" s="1"/>
      <c r="AD287" s="1"/>
      <c r="AE287" s="243"/>
    </row>
    <row r="288" spans="20:31" ht="19.5" customHeight="1" thickBot="1">
      <c r="T288" s="626" t="str">
        <f>3!H12</f>
        <v>Yerel Hertz basıncı</v>
      </c>
      <c r="U288" s="494"/>
      <c r="V288" s="494"/>
      <c r="W288" s="567" t="s">
        <v>488</v>
      </c>
      <c r="X288" s="245"/>
      <c r="AA288" s="513"/>
      <c r="AC288" s="568" t="s">
        <v>489</v>
      </c>
      <c r="AD288" s="570">
        <f>(V293/Z293/V294/Z294*(Z294+1))^0.5*AD297*AD307*AD311*AD316</f>
        <v>6865.608152873584</v>
      </c>
      <c r="AE288" s="243"/>
    </row>
    <row r="289" spans="20:31" ht="19.5" customHeight="1">
      <c r="T289" s="513"/>
      <c r="U289" s="243"/>
      <c r="V289" s="493"/>
      <c r="W289" s="493"/>
      <c r="X289" s="493"/>
      <c r="Y289" s="243"/>
      <c r="Z289" s="243"/>
      <c r="AC289" s="243"/>
      <c r="AD289" s="243"/>
      <c r="AE289" s="243"/>
    </row>
    <row r="290" spans="20:31" ht="19.5" customHeight="1">
      <c r="T290" s="513"/>
      <c r="U290" s="243"/>
      <c r="V290" s="243"/>
      <c r="W290" s="243"/>
      <c r="X290" s="243"/>
      <c r="Y290" s="243"/>
      <c r="Z290" s="243"/>
      <c r="AC290" s="243"/>
      <c r="AD290" s="243"/>
      <c r="AE290" s="243"/>
    </row>
    <row r="291" spans="20:31" ht="19.5" customHeight="1">
      <c r="T291" s="514"/>
      <c r="U291" s="151"/>
      <c r="V291" s="243"/>
      <c r="W291" s="243"/>
      <c r="X291" s="243"/>
      <c r="Y291" s="452"/>
      <c r="Z291" s="151"/>
      <c r="AB291" s="562" t="s">
        <v>294</v>
      </c>
      <c r="AC291" s="484">
        <f>AD297</f>
        <v>0.9399004733462336</v>
      </c>
      <c r="AD291" s="243"/>
      <c r="AE291" s="243"/>
    </row>
    <row r="292" spans="20:31" ht="19.5" customHeight="1">
      <c r="T292" s="443"/>
      <c r="U292" s="245"/>
      <c r="V292" s="245"/>
      <c r="W292" s="245"/>
      <c r="X292" s="245"/>
      <c r="Y292" s="245"/>
      <c r="Z292" s="245"/>
      <c r="AB292" s="562" t="s">
        <v>295</v>
      </c>
      <c r="AC292" s="484">
        <f>AD307</f>
        <v>1</v>
      </c>
      <c r="AD292" s="243"/>
      <c r="AE292" s="243"/>
    </row>
    <row r="293" spans="20:31" ht="19.5" customHeight="1">
      <c r="T293" s="600" t="s">
        <v>136</v>
      </c>
      <c r="U293" s="245"/>
      <c r="V293" s="500">
        <f>3!E7</f>
        <v>471944.44444444444</v>
      </c>
      <c r="W293" s="245"/>
      <c r="X293" s="245"/>
      <c r="Y293" s="499" t="s">
        <v>135</v>
      </c>
      <c r="Z293" s="501">
        <f>2!E9</f>
        <v>60</v>
      </c>
      <c r="AB293" s="562" t="s">
        <v>296</v>
      </c>
      <c r="AC293" s="484">
        <f>AD311</f>
        <v>2.306346512525357</v>
      </c>
      <c r="AD293" s="245"/>
      <c r="AE293" s="245"/>
    </row>
    <row r="294" spans="20:31" ht="19.5" customHeight="1">
      <c r="T294" s="600" t="s">
        <v>300</v>
      </c>
      <c r="U294" s="245"/>
      <c r="V294" s="501">
        <f>2!D30</f>
        <v>36</v>
      </c>
      <c r="W294" s="501"/>
      <c r="X294" s="245"/>
      <c r="Y294" s="499" t="s">
        <v>134</v>
      </c>
      <c r="Z294" s="501">
        <f>3!K10</f>
        <v>4</v>
      </c>
      <c r="AB294" s="562" t="s">
        <v>297</v>
      </c>
      <c r="AC294" s="484">
        <f>AD316</f>
        <v>191.64567250641844</v>
      </c>
      <c r="AD294" s="243"/>
      <c r="AE294" s="243"/>
    </row>
    <row r="295" spans="30:31" ht="19.5" customHeight="1">
      <c r="AD295" s="243"/>
      <c r="AE295" s="243"/>
    </row>
    <row r="296" spans="25:31" ht="19.5" customHeight="1" thickBot="1">
      <c r="Y296" s="245"/>
      <c r="AC296" s="243"/>
      <c r="AD296" s="243"/>
      <c r="AE296" s="243"/>
    </row>
    <row r="297" spans="20:31" ht="19.5" customHeight="1" thickBot="1">
      <c r="T297" s="512" t="str">
        <f>3!H13</f>
        <v>Yük payı faktörü</v>
      </c>
      <c r="U297" s="503"/>
      <c r="V297" s="243" t="s">
        <v>319</v>
      </c>
      <c r="W297" s="243"/>
      <c r="X297" s="245"/>
      <c r="Y297" s="243"/>
      <c r="AC297" s="520" t="s">
        <v>294</v>
      </c>
      <c r="AD297" s="521">
        <f>IF(W303&gt;1,AA303,IF(Z311=0,AA299,AA301))</f>
        <v>0.9399004733462336</v>
      </c>
      <c r="AE297" s="243"/>
    </row>
    <row r="298" spans="24:31" ht="19.5" customHeight="1">
      <c r="X298" s="245"/>
      <c r="AC298" s="243"/>
      <c r="AD298" s="243"/>
      <c r="AE298" s="243"/>
    </row>
    <row r="299" spans="20:31" ht="19.5" customHeight="1">
      <c r="T299" s="443" t="s">
        <v>132</v>
      </c>
      <c r="U299" s="245"/>
      <c r="V299" s="243"/>
      <c r="W299" s="243"/>
      <c r="X299" s="245"/>
      <c r="Y299" s="243"/>
      <c r="Z299" s="452" t="s">
        <v>320</v>
      </c>
      <c r="AA299" s="588">
        <f>((4-Y303)/3)^0.5</f>
        <v>0.9399004733462336</v>
      </c>
      <c r="AC299" s="243"/>
      <c r="AD299" s="243"/>
      <c r="AE299" s="243"/>
    </row>
    <row r="300" spans="24:31" ht="19.5" customHeight="1">
      <c r="X300" s="245"/>
      <c r="Y300" s="245"/>
      <c r="Z300" s="245"/>
      <c r="AA300" s="443"/>
      <c r="AB300" s="443"/>
      <c r="AC300" s="245"/>
      <c r="AD300" s="245"/>
      <c r="AE300" s="245"/>
    </row>
    <row r="301" spans="20:27" ht="19.5" customHeight="1">
      <c r="T301" s="443" t="s">
        <v>131</v>
      </c>
      <c r="U301" s="245"/>
      <c r="V301" s="245"/>
      <c r="W301" s="245"/>
      <c r="X301" s="245"/>
      <c r="Z301" s="452" t="s">
        <v>320</v>
      </c>
      <c r="AA301" s="588">
        <f>((4-Y303)*(1-W303)/3+W303/Y303)^0.5</f>
        <v>0.9399004733462336</v>
      </c>
    </row>
    <row r="302" spans="20:28" ht="19.5" customHeight="1">
      <c r="T302" s="513"/>
      <c r="U302" s="243"/>
      <c r="V302" s="243"/>
      <c r="W302" s="243"/>
      <c r="X302" s="243"/>
      <c r="Y302" s="243"/>
      <c r="Z302" s="452"/>
      <c r="AA302" s="513"/>
      <c r="AB302" s="544"/>
    </row>
    <row r="303" spans="20:31" ht="19.5" customHeight="1">
      <c r="T303" s="597" t="s">
        <v>321</v>
      </c>
      <c r="U303" s="243"/>
      <c r="V303" s="452" t="s">
        <v>322</v>
      </c>
      <c r="W303" s="522">
        <f>2!D41</f>
        <v>0</v>
      </c>
      <c r="X303" s="452" t="s">
        <v>323</v>
      </c>
      <c r="Y303" s="522">
        <f>2!D39</f>
        <v>1.3497613006105778</v>
      </c>
      <c r="Z303" s="452" t="s">
        <v>320</v>
      </c>
      <c r="AA303" s="588">
        <f>(1/Y303)^0.5</f>
        <v>0.8607390647023799</v>
      </c>
      <c r="AB303" s="544"/>
      <c r="AE303" s="243"/>
    </row>
    <row r="304" spans="20:21" ht="19.5" customHeight="1">
      <c r="T304" s="443"/>
      <c r="U304" s="243"/>
    </row>
    <row r="305" spans="20:21" ht="19.5" customHeight="1">
      <c r="T305" s="443"/>
      <c r="U305" s="243"/>
    </row>
    <row r="306" ht="19.5" customHeight="1" thickBot="1"/>
    <row r="307" spans="20:30" ht="19.5" customHeight="1" thickBot="1">
      <c r="T307" s="512" t="str">
        <f>3!H14</f>
        <v>Helis faktörü </v>
      </c>
      <c r="U307" s="503"/>
      <c r="V307" s="243" t="s">
        <v>324</v>
      </c>
      <c r="W307" s="243"/>
      <c r="X307" s="245"/>
      <c r="Y307" s="243"/>
      <c r="AC307" s="520" t="s">
        <v>542</v>
      </c>
      <c r="AD307" s="521">
        <f>(Z308)^0.5</f>
        <v>1</v>
      </c>
    </row>
    <row r="308" spans="25:26" ht="19.5" customHeight="1">
      <c r="Y308" s="499" t="s">
        <v>483</v>
      </c>
      <c r="Z308" s="564">
        <f>COS(Z311*PI()/180)</f>
        <v>1</v>
      </c>
    </row>
    <row r="309" ht="19.5" customHeight="1"/>
    <row r="310" spans="20:28" ht="19.5" customHeight="1" thickBot="1">
      <c r="T310" s="513"/>
      <c r="U310" s="243"/>
      <c r="V310" s="243"/>
      <c r="W310" s="245"/>
      <c r="X310" s="245"/>
      <c r="AA310" s="443"/>
      <c r="AB310" s="443"/>
    </row>
    <row r="311" spans="17:31" ht="19.5" customHeight="1" thickBot="1">
      <c r="Q311" s="243"/>
      <c r="R311" s="243"/>
      <c r="S311" s="622"/>
      <c r="T311" s="512" t="str">
        <f>3!H15</f>
        <v>Diş yanağı form faktörü </v>
      </c>
      <c r="U311" s="503"/>
      <c r="V311" s="243" t="s">
        <v>325</v>
      </c>
      <c r="Y311" s="266" t="s">
        <v>505</v>
      </c>
      <c r="Z311" s="523">
        <f>1!F24</f>
        <v>0</v>
      </c>
      <c r="AC311" s="520" t="s">
        <v>296</v>
      </c>
      <c r="AD311" s="521">
        <f>(2*Z314/Z313^2/Z312)^0.5</f>
        <v>2.306346512525357</v>
      </c>
      <c r="AE311" s="243"/>
    </row>
    <row r="312" spans="17:31" ht="19.5" customHeight="1">
      <c r="Q312" s="243"/>
      <c r="R312" s="243"/>
      <c r="S312" s="622"/>
      <c r="T312" s="443"/>
      <c r="U312" s="245"/>
      <c r="V312" s="243"/>
      <c r="W312" s="245"/>
      <c r="X312" s="245"/>
      <c r="Y312" s="499" t="s">
        <v>484</v>
      </c>
      <c r="Z312" s="565">
        <f>TAN(2!D21*PI()/180)</f>
        <v>0.4258035202893858</v>
      </c>
      <c r="AA312" s="443"/>
      <c r="AB312" s="443"/>
      <c r="AC312" s="243"/>
      <c r="AD312" s="243"/>
      <c r="AE312" s="243"/>
    </row>
    <row r="313" spans="17:31" ht="19.5" customHeight="1">
      <c r="Q313" s="243"/>
      <c r="R313" s="243"/>
      <c r="S313" s="622"/>
      <c r="T313" s="487"/>
      <c r="U313" s="243"/>
      <c r="V313" s="243"/>
      <c r="W313" s="243"/>
      <c r="X313" s="245"/>
      <c r="Y313" s="499" t="s">
        <v>485</v>
      </c>
      <c r="Z313" s="565">
        <f>COS(2!D19*PI()/180)</f>
        <v>0.9396926207859084</v>
      </c>
      <c r="AA313" s="513"/>
      <c r="AB313" s="513"/>
      <c r="AC313" s="243"/>
      <c r="AD313" s="243"/>
      <c r="AE313" s="243"/>
    </row>
    <row r="314" spans="17:31" ht="19.5" customHeight="1">
      <c r="Q314" s="243"/>
      <c r="R314" s="243"/>
      <c r="S314" s="622"/>
      <c r="T314" s="487"/>
      <c r="U314" s="243"/>
      <c r="V314" s="243"/>
      <c r="W314" s="243"/>
      <c r="Y314" s="499" t="s">
        <v>486</v>
      </c>
      <c r="Z314" s="564">
        <f>COS(2!D26*PI()/180)</f>
        <v>1</v>
      </c>
      <c r="AA314" s="513"/>
      <c r="AB314" s="513"/>
      <c r="AC314" s="243"/>
      <c r="AD314" s="243"/>
      <c r="AE314" s="243"/>
    </row>
    <row r="315" spans="17:31" ht="19.5" customHeight="1" thickBot="1">
      <c r="Q315" s="243"/>
      <c r="R315" s="243"/>
      <c r="S315" s="622"/>
      <c r="AC315" s="243"/>
      <c r="AD315" s="243"/>
      <c r="AE315" s="243"/>
    </row>
    <row r="316" spans="17:31" ht="19.5" customHeight="1" thickBot="1">
      <c r="Q316" s="243"/>
      <c r="R316" s="243"/>
      <c r="S316" s="622"/>
      <c r="T316" s="512" t="str">
        <f>3!H16</f>
        <v>Elastikiyet faktörü </v>
      </c>
      <c r="U316" s="503"/>
      <c r="V316" s="243" t="s">
        <v>326</v>
      </c>
      <c r="W316" s="243"/>
      <c r="X316" s="243"/>
      <c r="Y316" s="243"/>
      <c r="AC316" s="520" t="s">
        <v>297</v>
      </c>
      <c r="AD316" s="521">
        <f>(1/(PI()*((1-X318^2)/Z318+(1-X319^2)/Z319)))^0.5</f>
        <v>191.64567250641844</v>
      </c>
      <c r="AE316" s="243"/>
    </row>
    <row r="317" spans="17:31" ht="19.5" customHeight="1">
      <c r="Q317" s="243"/>
      <c r="R317" s="243"/>
      <c r="S317" s="622"/>
      <c r="T317" s="513"/>
      <c r="U317" s="243"/>
      <c r="Z317" s="243"/>
      <c r="AA317" s="513"/>
      <c r="AB317" s="513"/>
      <c r="AE317" s="243"/>
    </row>
    <row r="318" spans="17:31" ht="19.5" customHeight="1">
      <c r="Q318" s="243"/>
      <c r="R318" s="243"/>
      <c r="S318" s="622"/>
      <c r="T318" s="513"/>
      <c r="U318" s="243"/>
      <c r="V318" s="243"/>
      <c r="W318" s="452" t="s">
        <v>327</v>
      </c>
      <c r="X318" s="151">
        <f>1!L22</f>
        <v>0.3</v>
      </c>
      <c r="Y318" s="452" t="s">
        <v>328</v>
      </c>
      <c r="Z318" s="151">
        <f>1!L20</f>
        <v>210000</v>
      </c>
      <c r="AA318" s="513"/>
      <c r="AB318" s="513"/>
      <c r="AE318" s="243"/>
    </row>
    <row r="319" spans="17:31" ht="19.5" customHeight="1">
      <c r="Q319" s="243"/>
      <c r="R319" s="243"/>
      <c r="S319" s="622"/>
      <c r="T319" s="627"/>
      <c r="U319" s="524"/>
      <c r="V319" s="524"/>
      <c r="W319" s="452" t="s">
        <v>329</v>
      </c>
      <c r="X319" s="151">
        <f>1!L23</f>
        <v>0.3</v>
      </c>
      <c r="Y319" s="452" t="s">
        <v>330</v>
      </c>
      <c r="Z319" s="151">
        <f>1!L21</f>
        <v>210000</v>
      </c>
      <c r="AA319" s="513"/>
      <c r="AE319" s="243"/>
    </row>
    <row r="320" spans="17:31" ht="19.5" customHeight="1">
      <c r="Q320" s="243"/>
      <c r="R320" s="243"/>
      <c r="S320" s="622"/>
      <c r="T320" s="627"/>
      <c r="U320" s="524"/>
      <c r="V320" s="524"/>
      <c r="W320" s="243"/>
      <c r="X320" s="245"/>
      <c r="Y320" s="243"/>
      <c r="Z320" s="243"/>
      <c r="AA320" s="513"/>
      <c r="AE320" s="243"/>
    </row>
    <row r="321" spans="17:31" ht="19.5" customHeight="1" thickBot="1">
      <c r="Q321" s="243"/>
      <c r="R321" s="243"/>
      <c r="S321" s="622"/>
      <c r="T321" s="627"/>
      <c r="U321" s="524"/>
      <c r="V321" s="524"/>
      <c r="W321" s="243"/>
      <c r="X321" s="245"/>
      <c r="Y321" s="243"/>
      <c r="Z321" s="243"/>
      <c r="AA321" s="513"/>
      <c r="AB321" s="513"/>
      <c r="AC321" s="243"/>
      <c r="AD321" s="243"/>
      <c r="AE321" s="243"/>
    </row>
    <row r="322" spans="17:31" ht="19.5" customHeight="1" thickBot="1">
      <c r="Q322" s="243"/>
      <c r="R322" s="243"/>
      <c r="S322" s="622"/>
      <c r="T322" s="623" t="str">
        <f>3!H24</f>
        <v>Diş yanağı form mukavemeti</v>
      </c>
      <c r="U322" s="559"/>
      <c r="V322" s="559"/>
      <c r="W322" s="243"/>
      <c r="X322" s="245"/>
      <c r="Y322" s="243"/>
      <c r="Z322" s="243"/>
      <c r="AA322" s="513"/>
      <c r="AC322" s="566" t="s">
        <v>299</v>
      </c>
      <c r="AD322" s="573">
        <f>Z326*AD334*AD341*AD353*AD361*AD376</f>
        <v>1121.0237250411988</v>
      </c>
      <c r="AE322" s="243"/>
    </row>
    <row r="323" spans="17:31" ht="19.5" customHeight="1" thickBot="1">
      <c r="Q323" s="243"/>
      <c r="R323" s="243"/>
      <c r="S323" s="622"/>
      <c r="W323" s="243"/>
      <c r="X323" s="245"/>
      <c r="Y323" s="243"/>
      <c r="Z323" s="243"/>
      <c r="AA323" s="513"/>
      <c r="AC323" s="513"/>
      <c r="AD323" s="243"/>
      <c r="AE323" s="243"/>
    </row>
    <row r="324" spans="17:31" ht="19.5" customHeight="1" thickBot="1">
      <c r="Q324" s="243"/>
      <c r="R324" s="243"/>
      <c r="S324" s="622"/>
      <c r="W324" s="243"/>
      <c r="X324" s="245"/>
      <c r="Y324" s="243"/>
      <c r="Z324" s="243"/>
      <c r="AA324" s="513"/>
      <c r="AC324" s="566" t="s">
        <v>487</v>
      </c>
      <c r="AD324" s="573">
        <f>Z327*AD334*AD341*AD353*AD361*AD376</f>
        <v>1121.0237250411988</v>
      </c>
      <c r="AE324" s="243"/>
    </row>
    <row r="325" spans="17:31" ht="19.5" customHeight="1">
      <c r="Q325" s="243"/>
      <c r="R325" s="243"/>
      <c r="S325" s="622"/>
      <c r="T325" s="513"/>
      <c r="U325" s="243"/>
      <c r="V325" s="243"/>
      <c r="W325" s="243"/>
      <c r="X325" s="245"/>
      <c r="Y325" s="243"/>
      <c r="Z325" s="243"/>
      <c r="AA325" s="513"/>
      <c r="AB325" s="513"/>
      <c r="AC325" s="243"/>
      <c r="AD325" s="243"/>
      <c r="AE325" s="243"/>
    </row>
    <row r="326" spans="17:31" ht="19.5" customHeight="1">
      <c r="Q326" s="243"/>
      <c r="R326" s="243"/>
      <c r="S326" s="622"/>
      <c r="Y326" s="488" t="s">
        <v>331</v>
      </c>
      <c r="Z326" s="751">
        <f>IF(1!L26&lt;850,850,IF(1!L26&gt;1200,1200,1!L26))</f>
        <v>1100</v>
      </c>
      <c r="AA326" s="751"/>
      <c r="AB326" s="562" t="s">
        <v>332</v>
      </c>
      <c r="AC326" s="484">
        <f>AD334</f>
        <v>1.2370058841467824</v>
      </c>
      <c r="AE326" s="243"/>
    </row>
    <row r="327" spans="17:31" ht="19.5" customHeight="1">
      <c r="Q327" s="243"/>
      <c r="R327" s="243"/>
      <c r="S327" s="622"/>
      <c r="T327" s="513"/>
      <c r="U327" s="243"/>
      <c r="V327" s="243"/>
      <c r="W327" s="243"/>
      <c r="X327" s="245"/>
      <c r="Y327" s="488" t="s">
        <v>333</v>
      </c>
      <c r="Z327" s="751">
        <f>IF(1!L27&lt;850,850,IF(1!L27&gt;1200,1200,1!L27))</f>
        <v>1100</v>
      </c>
      <c r="AA327" s="751"/>
      <c r="AB327" s="562" t="s">
        <v>334</v>
      </c>
      <c r="AC327" s="484">
        <f>AD341</f>
        <v>0.9712519900626262</v>
      </c>
      <c r="AE327" s="243"/>
    </row>
    <row r="328" spans="17:31" ht="19.5" customHeight="1">
      <c r="Q328" s="243"/>
      <c r="R328" s="243"/>
      <c r="S328" s="622"/>
      <c r="Y328" s="243"/>
      <c r="Z328" s="243"/>
      <c r="AA328" s="513"/>
      <c r="AB328" s="562" t="s">
        <v>335</v>
      </c>
      <c r="AC328" s="484">
        <f>AD353</f>
        <v>0.9161361645813426</v>
      </c>
      <c r="AE328" s="243"/>
    </row>
    <row r="329" spans="17:31" ht="19.5" customHeight="1">
      <c r="Q329" s="243"/>
      <c r="R329" s="243"/>
      <c r="S329" s="622"/>
      <c r="Y329" s="243"/>
      <c r="Z329" s="243"/>
      <c r="AA329" s="513"/>
      <c r="AB329" s="562" t="s">
        <v>336</v>
      </c>
      <c r="AC329" s="484">
        <f>AD361</f>
        <v>0.9258878911371474</v>
      </c>
      <c r="AE329" s="243"/>
    </row>
    <row r="330" spans="17:31" ht="19.5" customHeight="1">
      <c r="Q330" s="243"/>
      <c r="R330" s="243"/>
      <c r="S330" s="622"/>
      <c r="Y330" s="243"/>
      <c r="Z330" s="243"/>
      <c r="AA330" s="513"/>
      <c r="AB330" s="562" t="s">
        <v>337</v>
      </c>
      <c r="AC330" s="484">
        <f>AD372</f>
        <v>1</v>
      </c>
      <c r="AE330" s="243"/>
    </row>
    <row r="331" spans="17:31" ht="19.5" customHeight="1">
      <c r="Q331" s="243"/>
      <c r="R331" s="243"/>
      <c r="S331" s="622"/>
      <c r="Y331" s="243"/>
      <c r="Z331" s="243"/>
      <c r="AA331" s="513"/>
      <c r="AB331" s="562" t="s">
        <v>338</v>
      </c>
      <c r="AC331" s="484">
        <f>AD376</f>
        <v>1</v>
      </c>
      <c r="AE331" s="243"/>
    </row>
    <row r="332" spans="17:31" ht="19.5" customHeight="1">
      <c r="Q332" s="243"/>
      <c r="R332" s="243"/>
      <c r="S332" s="622"/>
      <c r="T332" s="513"/>
      <c r="U332" s="243"/>
      <c r="V332" s="243"/>
      <c r="W332" s="243"/>
      <c r="X332" s="245"/>
      <c r="Y332" s="243"/>
      <c r="Z332" s="243"/>
      <c r="AA332" s="513"/>
      <c r="AB332" s="513"/>
      <c r="AC332" s="243"/>
      <c r="AD332" s="243"/>
      <c r="AE332" s="243"/>
    </row>
    <row r="333" spans="17:31" ht="19.5" customHeight="1" thickBot="1">
      <c r="Q333" s="243"/>
      <c r="R333" s="243"/>
      <c r="S333" s="622"/>
      <c r="T333" s="443"/>
      <c r="U333" s="243"/>
      <c r="V333" s="243"/>
      <c r="W333" s="243"/>
      <c r="X333" s="245"/>
      <c r="AA333" s="513"/>
      <c r="AC333" s="243"/>
      <c r="AD333" s="243"/>
      <c r="AE333" s="243"/>
    </row>
    <row r="334" spans="17:30" ht="19.5" customHeight="1" thickBot="1">
      <c r="Q334" s="243"/>
      <c r="R334" s="243"/>
      <c r="T334" s="582" t="str">
        <f>3!H26</f>
        <v>Dayanma süresi faktörü </v>
      </c>
      <c r="U334" s="581"/>
      <c r="V334" s="243" t="s">
        <v>339</v>
      </c>
      <c r="W334" s="452" t="s">
        <v>302</v>
      </c>
      <c r="X334" s="243">
        <f>1!L17</f>
        <v>3000000</v>
      </c>
      <c r="AA334" s="513"/>
      <c r="AC334" s="520" t="s">
        <v>332</v>
      </c>
      <c r="AD334" s="521">
        <f>IF(X334&lt;10^5,1.6,IF(X334&gt;=5*10^7,1,(5*10^7/X334)^0.0756))</f>
        <v>1.2370058841467824</v>
      </c>
    </row>
    <row r="335" spans="17:31" ht="19.5" customHeight="1" thickBot="1">
      <c r="Q335" s="243"/>
      <c r="R335" s="243"/>
      <c r="S335" s="622"/>
      <c r="T335" s="513"/>
      <c r="U335" s="243"/>
      <c r="V335" s="243"/>
      <c r="W335" s="243"/>
      <c r="X335" s="245"/>
      <c r="Y335" s="243"/>
      <c r="Z335" s="243"/>
      <c r="AA335" s="513"/>
      <c r="AC335" s="513"/>
      <c r="AD335" s="243"/>
      <c r="AE335" s="243"/>
    </row>
    <row r="336" spans="17:31" ht="19.5" customHeight="1">
      <c r="Q336" s="243"/>
      <c r="R336" s="243"/>
      <c r="S336" s="622"/>
      <c r="T336" s="749" t="s">
        <v>129</v>
      </c>
      <c r="U336" s="728"/>
      <c r="V336" s="728" t="s">
        <v>340</v>
      </c>
      <c r="W336" s="728"/>
      <c r="X336" s="728"/>
      <c r="Y336" s="729"/>
      <c r="Z336" s="243"/>
      <c r="AA336" s="513"/>
      <c r="AC336" s="513"/>
      <c r="AD336" s="243"/>
      <c r="AE336" s="243"/>
    </row>
    <row r="337" spans="17:31" ht="19.5" customHeight="1">
      <c r="Q337" s="243"/>
      <c r="R337" s="243"/>
      <c r="S337" s="622"/>
      <c r="T337" s="725" t="s">
        <v>523</v>
      </c>
      <c r="U337" s="726"/>
      <c r="V337" s="726" t="s">
        <v>341</v>
      </c>
      <c r="W337" s="726"/>
      <c r="X337" s="726"/>
      <c r="Y337" s="727"/>
      <c r="AA337" s="513"/>
      <c r="AC337" s="587"/>
      <c r="AD337" s="243"/>
      <c r="AE337" s="243"/>
    </row>
    <row r="338" spans="17:31" ht="19.5" customHeight="1">
      <c r="Q338" s="243"/>
      <c r="R338" s="243"/>
      <c r="S338" s="622"/>
      <c r="T338" s="725" t="s">
        <v>342</v>
      </c>
      <c r="U338" s="726"/>
      <c r="V338" s="726" t="s">
        <v>343</v>
      </c>
      <c r="W338" s="726"/>
      <c r="X338" s="726"/>
      <c r="Y338" s="727"/>
      <c r="AA338" s="513"/>
      <c r="AC338" s="513"/>
      <c r="AD338" s="243"/>
      <c r="AE338" s="243"/>
    </row>
    <row r="339" spans="17:31" ht="19.5" customHeight="1" thickBot="1">
      <c r="Q339" s="243"/>
      <c r="R339" s="243"/>
      <c r="S339" s="622"/>
      <c r="T339" s="721" t="s">
        <v>522</v>
      </c>
      <c r="U339" s="722"/>
      <c r="V339" s="722" t="s">
        <v>344</v>
      </c>
      <c r="W339" s="722"/>
      <c r="X339" s="722"/>
      <c r="Y339" s="723"/>
      <c r="Z339" s="243"/>
      <c r="AA339" s="513"/>
      <c r="AC339" s="513"/>
      <c r="AD339" s="243"/>
      <c r="AE339" s="243"/>
    </row>
    <row r="340" spans="17:31" ht="19.5" customHeight="1" thickBot="1">
      <c r="Q340" s="243"/>
      <c r="R340" s="243"/>
      <c r="AC340" s="587"/>
      <c r="AD340" s="243"/>
      <c r="AE340" s="243"/>
    </row>
    <row r="341" spans="17:30" ht="19.5" customHeight="1" thickBot="1">
      <c r="Q341" s="243"/>
      <c r="R341" s="243"/>
      <c r="T341" s="582" t="str">
        <f>3!H27</f>
        <v>Yağlama faktörü</v>
      </c>
      <c r="U341" s="581"/>
      <c r="V341" s="243" t="s">
        <v>345</v>
      </c>
      <c r="X341" s="452" t="s">
        <v>346</v>
      </c>
      <c r="Y341" s="151">
        <f>1!D15</f>
        <v>40</v>
      </c>
      <c r="AC341" s="520" t="s">
        <v>334</v>
      </c>
      <c r="AD341" s="521">
        <f>IF(Y341=50,AB343,AB347)</f>
        <v>0.9712519900626262</v>
      </c>
    </row>
    <row r="342" spans="17:31" ht="19.5" customHeight="1">
      <c r="Q342" s="243"/>
      <c r="R342" s="243"/>
      <c r="S342" s="622"/>
      <c r="T342" s="513"/>
      <c r="U342" s="243"/>
      <c r="V342" s="243" t="str">
        <f>1!B15</f>
        <v>Yağ ve Viskositesi</v>
      </c>
      <c r="W342" s="243"/>
      <c r="X342" s="452" t="s">
        <v>346</v>
      </c>
      <c r="Y342" s="151">
        <v>50</v>
      </c>
      <c r="Z342" s="243">
        <f>1!F15</f>
        <v>120</v>
      </c>
      <c r="AA342" s="513"/>
      <c r="AB342" s="544"/>
      <c r="AC342" s="243"/>
      <c r="AD342" s="243"/>
      <c r="AE342" s="243"/>
    </row>
    <row r="343" spans="17:31" ht="19.5" customHeight="1">
      <c r="Q343" s="243"/>
      <c r="R343" s="243"/>
      <c r="S343" s="622"/>
      <c r="T343" s="513"/>
      <c r="U343" s="243"/>
      <c r="V343" s="243"/>
      <c r="W343" s="243"/>
      <c r="X343" s="245"/>
      <c r="Y343" s="243"/>
      <c r="Z343" s="452" t="s">
        <v>347</v>
      </c>
      <c r="AA343" s="588">
        <f>AA347+4*(1-AA347)/(1.2+80/Z342)^2</f>
        <v>1.0042535320825705</v>
      </c>
      <c r="AB343" s="585">
        <f>IF(AA343&lt;AA344,AA343,AA344)</f>
        <v>1.0042535320825705</v>
      </c>
      <c r="AC343" s="243"/>
      <c r="AD343" s="243"/>
      <c r="AE343" s="243"/>
    </row>
    <row r="344" spans="17:31" ht="19.5" customHeight="1">
      <c r="Q344" s="243"/>
      <c r="R344" s="243"/>
      <c r="S344" s="622"/>
      <c r="T344" s="513"/>
      <c r="U344" s="243"/>
      <c r="V344" s="243"/>
      <c r="W344" s="243"/>
      <c r="X344" s="245"/>
      <c r="Y344" s="243"/>
      <c r="Z344" s="452" t="s">
        <v>348</v>
      </c>
      <c r="AA344" s="588">
        <f>AA348+4*(1-AA348)/(1.2+80/Z342)^2</f>
        <v>1.0042535320825705</v>
      </c>
      <c r="AB344" s="544"/>
      <c r="AC344" s="243"/>
      <c r="AD344" s="243"/>
      <c r="AE344" s="243"/>
    </row>
    <row r="345" spans="17:31" ht="19.5" customHeight="1">
      <c r="Q345" s="243"/>
      <c r="R345" s="243"/>
      <c r="S345" s="622"/>
      <c r="U345" s="243"/>
      <c r="Z345" s="452"/>
      <c r="AA345" s="513"/>
      <c r="AB345" s="544"/>
      <c r="AC345" s="243"/>
      <c r="AD345" s="243"/>
      <c r="AE345" s="243"/>
    </row>
    <row r="346" spans="17:31" ht="19.5" customHeight="1">
      <c r="Q346" s="243"/>
      <c r="R346" s="243"/>
      <c r="S346" s="622"/>
      <c r="T346" s="513"/>
      <c r="U346" s="243"/>
      <c r="V346" s="243" t="str">
        <f>1!B15</f>
        <v>Yağ ve Viskositesi</v>
      </c>
      <c r="X346" s="452" t="s">
        <v>346</v>
      </c>
      <c r="Y346" s="151">
        <f>1!D15</f>
        <v>40</v>
      </c>
      <c r="Z346" s="243">
        <f>1!F15</f>
        <v>120</v>
      </c>
      <c r="AA346" s="513"/>
      <c r="AB346" s="513"/>
      <c r="AC346" s="243"/>
      <c r="AD346" s="243"/>
      <c r="AE346" s="243"/>
    </row>
    <row r="347" spans="17:31" ht="19.5" customHeight="1">
      <c r="Q347" s="243"/>
      <c r="R347" s="243"/>
      <c r="S347" s="622"/>
      <c r="W347" s="243"/>
      <c r="X347" s="245"/>
      <c r="Y347" s="243"/>
      <c r="Z347" s="452" t="s">
        <v>349</v>
      </c>
      <c r="AA347" s="588">
        <f>AA350+4*(1-AA350)/(1.2+134/Z346)^2</f>
        <v>0.9712519900626262</v>
      </c>
      <c r="AB347" s="585">
        <f>IF(AA347&lt;AA348,AA347,AA348)</f>
        <v>0.9712519900626262</v>
      </c>
      <c r="AC347" s="243"/>
      <c r="AD347" s="243"/>
      <c r="AE347" s="243"/>
    </row>
    <row r="348" spans="17:31" ht="19.5" customHeight="1">
      <c r="Q348" s="243"/>
      <c r="R348" s="243"/>
      <c r="S348" s="622"/>
      <c r="T348" s="443"/>
      <c r="U348" s="243"/>
      <c r="V348" s="243"/>
      <c r="W348" s="243"/>
      <c r="X348" s="245"/>
      <c r="Y348" s="243"/>
      <c r="Z348" s="452" t="s">
        <v>350</v>
      </c>
      <c r="AA348" s="588">
        <f>AA351+4*(1-AA351)/(1.2+134/Z346)^2</f>
        <v>0.9712519900626262</v>
      </c>
      <c r="AC348" s="243"/>
      <c r="AD348" s="243"/>
      <c r="AE348" s="243"/>
    </row>
    <row r="349" spans="17:31" ht="19.5" customHeight="1">
      <c r="Q349" s="243"/>
      <c r="R349" s="243"/>
      <c r="S349" s="622"/>
      <c r="T349" s="513"/>
      <c r="U349" s="243"/>
      <c r="X349" s="245"/>
      <c r="AC349" s="243"/>
      <c r="AD349" s="243"/>
      <c r="AE349" s="243"/>
    </row>
    <row r="350" spans="17:31" ht="19.5" customHeight="1">
      <c r="Q350" s="243"/>
      <c r="R350" s="243"/>
      <c r="S350" s="622"/>
      <c r="T350" s="443"/>
      <c r="U350" s="243"/>
      <c r="V350" s="243"/>
      <c r="W350" s="243"/>
      <c r="X350" s="243"/>
      <c r="Y350" s="243"/>
      <c r="Z350" s="452" t="s">
        <v>351</v>
      </c>
      <c r="AA350" s="588">
        <f>Z326/4375+0.6357</f>
        <v>0.8871285714285715</v>
      </c>
      <c r="AC350" s="243"/>
      <c r="AD350" s="243"/>
      <c r="AE350" s="243"/>
    </row>
    <row r="351" spans="17:31" ht="19.5" customHeight="1">
      <c r="Q351" s="243"/>
      <c r="R351" s="243"/>
      <c r="S351" s="622"/>
      <c r="T351" s="443"/>
      <c r="U351" s="243"/>
      <c r="V351" s="243"/>
      <c r="W351" s="243"/>
      <c r="X351" s="245"/>
      <c r="Y351" s="243"/>
      <c r="Z351" s="452" t="s">
        <v>352</v>
      </c>
      <c r="AA351" s="588">
        <f>Z327/4375+0.6357</f>
        <v>0.8871285714285715</v>
      </c>
      <c r="AC351" s="243"/>
      <c r="AD351" s="243"/>
      <c r="AE351" s="243"/>
    </row>
    <row r="352" spans="17:31" ht="19.5" customHeight="1" thickBot="1">
      <c r="Q352" s="243"/>
      <c r="R352" s="243"/>
      <c r="S352" s="622"/>
      <c r="T352" s="513"/>
      <c r="U352" s="243"/>
      <c r="V352" s="243"/>
      <c r="W352" s="243"/>
      <c r="X352" s="245"/>
      <c r="Y352" s="243"/>
      <c r="AC352" s="243"/>
      <c r="AD352" s="243"/>
      <c r="AE352" s="243"/>
    </row>
    <row r="353" spans="17:31" ht="19.5" customHeight="1" thickBot="1">
      <c r="Q353" s="243"/>
      <c r="R353" s="243"/>
      <c r="T353" s="582" t="str">
        <f>3!H28</f>
        <v>Hız faktörü</v>
      </c>
      <c r="U353" s="581"/>
      <c r="V353" s="243" t="s">
        <v>353</v>
      </c>
      <c r="W353" s="243"/>
      <c r="X353" s="245"/>
      <c r="Y353" s="243"/>
      <c r="Z353" s="243"/>
      <c r="AA353" s="513"/>
      <c r="AC353" s="520" t="s">
        <v>335</v>
      </c>
      <c r="AD353" s="521">
        <f>IF(AA354&lt;AA355,AA354,AA355)</f>
        <v>0.9161361645813426</v>
      </c>
      <c r="AE353" s="243"/>
    </row>
    <row r="354" spans="17:31" ht="19.5" customHeight="1">
      <c r="Q354" s="243"/>
      <c r="R354" s="243"/>
      <c r="S354" s="622"/>
      <c r="W354" s="1"/>
      <c r="X354" s="1"/>
      <c r="Z354" s="452" t="s">
        <v>354</v>
      </c>
      <c r="AA354" s="588">
        <f>AA357+2*(1-AA357)/(0.8+32/W356)^0.5</f>
        <v>0.9161361645813426</v>
      </c>
      <c r="AC354" s="243"/>
      <c r="AD354" s="243"/>
      <c r="AE354" s="243"/>
    </row>
    <row r="355" spans="17:31" ht="19.5" customHeight="1">
      <c r="Q355" s="243"/>
      <c r="R355" s="243"/>
      <c r="S355" s="622"/>
      <c r="T355" s="513"/>
      <c r="U355" s="243"/>
      <c r="V355" s="243"/>
      <c r="Z355" s="452" t="s">
        <v>355</v>
      </c>
      <c r="AA355" s="588">
        <f>AA358+2*(1-AA358)/(0.8+32/W356)^0.5</f>
        <v>0.9161361645813426</v>
      </c>
      <c r="AC355" s="243"/>
      <c r="AD355" s="243"/>
      <c r="AE355" s="243"/>
    </row>
    <row r="356" spans="17:31" ht="19.5" customHeight="1">
      <c r="Q356" s="243"/>
      <c r="R356" s="243"/>
      <c r="S356" s="622"/>
      <c r="T356" s="443"/>
      <c r="U356" s="243"/>
      <c r="V356" s="452" t="s">
        <v>127</v>
      </c>
      <c r="W356" s="243">
        <f>PI()*2!D30*1!F11/60/10^3</f>
        <v>0.07539822368615504</v>
      </c>
      <c r="X356" s="243" t="s">
        <v>128</v>
      </c>
      <c r="AC356" s="243"/>
      <c r="AD356" s="243"/>
      <c r="AE356" s="243"/>
    </row>
    <row r="357" spans="17:31" ht="19.5" customHeight="1">
      <c r="Q357" s="243"/>
      <c r="R357" s="243"/>
      <c r="S357" s="622"/>
      <c r="T357" s="513"/>
      <c r="U357" s="243"/>
      <c r="V357" s="243"/>
      <c r="Z357" s="452" t="s">
        <v>356</v>
      </c>
      <c r="AA357" s="588">
        <f>AA350+0.02</f>
        <v>0.9071285714285715</v>
      </c>
      <c r="AC357" s="243"/>
      <c r="AD357" s="243"/>
      <c r="AE357" s="243"/>
    </row>
    <row r="358" spans="17:31" ht="19.5" customHeight="1">
      <c r="Q358" s="243"/>
      <c r="R358" s="243"/>
      <c r="S358" s="622"/>
      <c r="T358" s="443"/>
      <c r="U358" s="243"/>
      <c r="V358" s="243"/>
      <c r="Z358" s="452" t="s">
        <v>357</v>
      </c>
      <c r="AA358" s="588">
        <f>AA351+0.02</f>
        <v>0.9071285714285715</v>
      </c>
      <c r="AC358" s="243"/>
      <c r="AD358" s="243"/>
      <c r="AE358" s="243"/>
    </row>
    <row r="359" spans="17:31" ht="19.5" customHeight="1">
      <c r="Q359" s="243"/>
      <c r="R359" s="243"/>
      <c r="S359" s="622"/>
      <c r="T359" s="513"/>
      <c r="U359" s="243"/>
      <c r="V359" s="243"/>
      <c r="AC359" s="243"/>
      <c r="AD359" s="243"/>
      <c r="AE359" s="243"/>
    </row>
    <row r="360" spans="17:31" ht="19.5" customHeight="1" thickBot="1">
      <c r="Q360" s="243"/>
      <c r="R360" s="243"/>
      <c r="S360" s="622"/>
      <c r="T360" s="443"/>
      <c r="U360" s="243"/>
      <c r="V360" s="243"/>
      <c r="AC360" s="243"/>
      <c r="AD360" s="243"/>
      <c r="AE360" s="243"/>
    </row>
    <row r="361" spans="17:31" ht="19.5" customHeight="1" thickBot="1">
      <c r="Q361" s="243"/>
      <c r="R361" s="243"/>
      <c r="T361" s="582" t="str">
        <f>3!H29</f>
        <v>Kalite faktörü</v>
      </c>
      <c r="U361" s="581"/>
      <c r="V361" s="243" t="s">
        <v>358</v>
      </c>
      <c r="W361" s="243"/>
      <c r="X361" s="245"/>
      <c r="Y361" s="243"/>
      <c r="AC361" s="520" t="s">
        <v>336</v>
      </c>
      <c r="AD361" s="521">
        <f>IF(AA363&lt;AA364,AA363,AA364)</f>
        <v>0.9258878911371474</v>
      </c>
      <c r="AE361" s="243"/>
    </row>
    <row r="362" spans="17:31" ht="19.5" customHeight="1">
      <c r="Q362" s="243"/>
      <c r="R362" s="243"/>
      <c r="S362" s="622"/>
      <c r="T362" s="513"/>
      <c r="U362" s="243"/>
      <c r="V362" s="243"/>
      <c r="W362" s="243"/>
      <c r="X362" s="245"/>
      <c r="Y362" s="243"/>
      <c r="Z362" s="243"/>
      <c r="AA362" s="513"/>
      <c r="AB362" s="513"/>
      <c r="AC362" s="243"/>
      <c r="AD362" s="243"/>
      <c r="AE362" s="243"/>
    </row>
    <row r="363" spans="17:31" ht="19.5" customHeight="1">
      <c r="Q363" s="243"/>
      <c r="R363" s="243"/>
      <c r="S363" s="622"/>
      <c r="W363" s="243"/>
      <c r="X363" s="245"/>
      <c r="Y363" s="243"/>
      <c r="Z363" s="452" t="s">
        <v>520</v>
      </c>
      <c r="AA363" s="544">
        <f>(3/AA365)^AA367</f>
        <v>0.9258878911371474</v>
      </c>
      <c r="AC363" s="243"/>
      <c r="AD363" s="243"/>
      <c r="AE363" s="243"/>
    </row>
    <row r="364" spans="17:31" ht="19.5" customHeight="1">
      <c r="Q364" s="243"/>
      <c r="R364" s="243"/>
      <c r="S364" s="622"/>
      <c r="T364" s="513"/>
      <c r="U364" s="243"/>
      <c r="V364" s="243"/>
      <c r="W364" s="452" t="s">
        <v>126</v>
      </c>
      <c r="X364" s="151">
        <f>1!F27</f>
        <v>91.92</v>
      </c>
      <c r="Z364" s="452" t="s">
        <v>521</v>
      </c>
      <c r="AA364" s="544">
        <f>(3/AA365)^AA368</f>
        <v>0.9258878911371474</v>
      </c>
      <c r="AC364" s="243"/>
      <c r="AD364" s="243"/>
      <c r="AE364" s="243"/>
    </row>
    <row r="365" spans="17:31" ht="19.5" customHeight="1">
      <c r="Q365" s="243"/>
      <c r="R365" s="243"/>
      <c r="S365" s="622"/>
      <c r="T365" s="513"/>
      <c r="U365" s="243"/>
      <c r="V365" s="243"/>
      <c r="W365" s="452" t="s">
        <v>359</v>
      </c>
      <c r="X365" s="151">
        <f>1!F29</f>
        <v>6.3</v>
      </c>
      <c r="Z365" s="452" t="s">
        <v>360</v>
      </c>
      <c r="AA365" s="544">
        <f>(X365+X366)/2*(100/X364)^0.333333333</f>
        <v>6.4794360948982295</v>
      </c>
      <c r="AC365" s="243"/>
      <c r="AD365" s="243"/>
      <c r="AE365" s="243"/>
    </row>
    <row r="366" spans="17:31" ht="19.5" customHeight="1">
      <c r="Q366" s="243"/>
      <c r="R366" s="243"/>
      <c r="S366" s="622"/>
      <c r="T366" s="443"/>
      <c r="U366" s="243"/>
      <c r="V366" s="243"/>
      <c r="W366" s="452" t="s">
        <v>361</v>
      </c>
      <c r="X366" s="151">
        <f>1!F30</f>
        <v>6.3</v>
      </c>
      <c r="Z366" s="243"/>
      <c r="AA366" s="513"/>
      <c r="AC366" s="243"/>
      <c r="AD366" s="243"/>
      <c r="AE366" s="243"/>
    </row>
    <row r="367" spans="17:31" ht="19.5" customHeight="1">
      <c r="Q367" s="243"/>
      <c r="R367" s="243"/>
      <c r="S367" s="622"/>
      <c r="T367" s="443"/>
      <c r="U367" s="243"/>
      <c r="V367" s="243"/>
      <c r="W367" s="243"/>
      <c r="X367" s="243"/>
      <c r="Y367" s="243"/>
      <c r="Z367" s="452" t="s">
        <v>362</v>
      </c>
      <c r="AA367" s="544">
        <f>IF(Z326&lt;849,0.15,IF(Z326&gt;1200,0.08,0.32-0.0002*Z326))</f>
        <v>0.1</v>
      </c>
      <c r="AC367" s="243"/>
      <c r="AD367" s="243"/>
      <c r="AE367" s="243"/>
    </row>
    <row r="368" spans="17:31" ht="19.5" customHeight="1">
      <c r="Q368" s="243"/>
      <c r="R368" s="243"/>
      <c r="S368" s="622"/>
      <c r="T368" s="443"/>
      <c r="U368" s="243"/>
      <c r="V368" s="243"/>
      <c r="W368" s="243"/>
      <c r="X368" s="243"/>
      <c r="Y368" s="243"/>
      <c r="Z368" s="452" t="s">
        <v>363</v>
      </c>
      <c r="AA368" s="544">
        <f>IF(Z327&lt;849,0.15,IF(Z327&gt;1200,0.08,0.32-0.0002*Z327))</f>
        <v>0.1</v>
      </c>
      <c r="AC368" s="243"/>
      <c r="AD368" s="243"/>
      <c r="AE368" s="243"/>
    </row>
    <row r="369" spans="17:31" ht="19.5" customHeight="1">
      <c r="Q369" s="243"/>
      <c r="R369" s="243"/>
      <c r="S369" s="622"/>
      <c r="T369" s="443"/>
      <c r="U369" s="243"/>
      <c r="V369" s="243"/>
      <c r="W369" s="243"/>
      <c r="X369" s="245"/>
      <c r="Y369" s="243"/>
      <c r="Z369" s="452"/>
      <c r="AA369" s="513"/>
      <c r="AB369" s="544"/>
      <c r="AC369" s="243"/>
      <c r="AD369" s="243"/>
      <c r="AE369" s="243"/>
    </row>
    <row r="370" spans="17:31" ht="19.5" customHeight="1">
      <c r="Q370" s="243"/>
      <c r="R370" s="243"/>
      <c r="S370" s="622"/>
      <c r="T370" s="443"/>
      <c r="U370" s="243"/>
      <c r="V370" s="243"/>
      <c r="W370" s="243"/>
      <c r="X370" s="245"/>
      <c r="Y370" s="243"/>
      <c r="Z370" s="452"/>
      <c r="AA370" s="513"/>
      <c r="AB370" s="544"/>
      <c r="AC370" s="243"/>
      <c r="AD370" s="243"/>
      <c r="AE370" s="243"/>
    </row>
    <row r="371" spans="17:31" ht="19.5" customHeight="1" thickBot="1">
      <c r="Q371" s="243"/>
      <c r="R371" s="243"/>
      <c r="S371" s="622"/>
      <c r="T371" s="443"/>
      <c r="U371" s="243"/>
      <c r="V371" s="243"/>
      <c r="W371" s="243"/>
      <c r="X371" s="245"/>
      <c r="Y371" s="243"/>
      <c r="Z371" s="452"/>
      <c r="AA371" s="513"/>
      <c r="AB371" s="544"/>
      <c r="AC371" s="243"/>
      <c r="AD371" s="243"/>
      <c r="AE371" s="243"/>
    </row>
    <row r="372" spans="17:31" ht="19.5" customHeight="1" thickBot="1">
      <c r="Q372" s="243"/>
      <c r="R372" s="243"/>
      <c r="T372" s="582" t="str">
        <f>3!H30</f>
        <v>Malzeme çifti faktörü</v>
      </c>
      <c r="U372" s="581"/>
      <c r="V372" s="243" t="s">
        <v>364</v>
      </c>
      <c r="W372" s="243"/>
      <c r="X372" s="245"/>
      <c r="Y372" s="243"/>
      <c r="Z372" s="151"/>
      <c r="AC372" s="520" t="s">
        <v>337</v>
      </c>
      <c r="AD372" s="521">
        <f>IF(AA374&lt;AA375,AA374,AA375)</f>
        <v>1</v>
      </c>
      <c r="AE372" s="243"/>
    </row>
    <row r="373" spans="17:31" ht="19.5" customHeight="1">
      <c r="Q373" s="243"/>
      <c r="R373" s="243"/>
      <c r="S373" s="622"/>
      <c r="T373" s="443"/>
      <c r="U373" s="243"/>
      <c r="V373" s="243"/>
      <c r="W373" s="243"/>
      <c r="X373" s="245"/>
      <c r="Y373" s="243"/>
      <c r="Z373" s="452"/>
      <c r="AA373" s="513"/>
      <c r="AC373" s="544"/>
      <c r="AD373" s="243"/>
      <c r="AE373" s="243"/>
    </row>
    <row r="374" spans="17:29" ht="19.5" customHeight="1">
      <c r="Q374" s="243"/>
      <c r="R374" s="243"/>
      <c r="U374" s="587"/>
      <c r="W374" s="452" t="s">
        <v>365</v>
      </c>
      <c r="X374" s="151">
        <f>1!L28</f>
        <v>525</v>
      </c>
      <c r="Z374" s="452" t="s">
        <v>366</v>
      </c>
      <c r="AA374" s="544">
        <f>IF(X374&gt;469,1,IF(X374&lt;130,1.2,1.2-(X374-130)/1700))</f>
        <v>1</v>
      </c>
      <c r="AC374" s="587"/>
    </row>
    <row r="375" spans="17:29" ht="19.5" customHeight="1" thickBot="1">
      <c r="Q375" s="243"/>
      <c r="R375" s="243"/>
      <c r="U375" s="587"/>
      <c r="W375" s="452" t="s">
        <v>367</v>
      </c>
      <c r="X375" s="151">
        <f>1!L29</f>
        <v>525</v>
      </c>
      <c r="Z375" s="452" t="s">
        <v>368</v>
      </c>
      <c r="AA375" s="544">
        <f>IF(X375&gt;469,1,IF(X375&lt;130,1.2,1.2-(X375-130)/1700))</f>
        <v>1</v>
      </c>
      <c r="AC375" s="587"/>
    </row>
    <row r="376" spans="17:30" ht="19.5" customHeight="1" thickBot="1">
      <c r="Q376" s="243"/>
      <c r="R376" s="243"/>
      <c r="AC376" s="520" t="s">
        <v>338</v>
      </c>
      <c r="AD376" s="521">
        <f>IF(S383&lt;1.5,AD380,IF(S383&lt;2.5,AD381,AD382))</f>
        <v>1</v>
      </c>
    </row>
    <row r="377" spans="17:31" ht="19.5" customHeight="1" thickBot="1">
      <c r="Q377" s="243"/>
      <c r="R377" s="243"/>
      <c r="T377" s="582" t="str">
        <f>3!H31</f>
        <v>Büyüklük faktörü</v>
      </c>
      <c r="U377" s="581"/>
      <c r="V377" s="243" t="s">
        <v>369</v>
      </c>
      <c r="X377" s="452" t="s">
        <v>308</v>
      </c>
      <c r="Y377" s="515">
        <f>1!F19</f>
        <v>3</v>
      </c>
      <c r="AC377" s="243"/>
      <c r="AD377" s="243"/>
      <c r="AE377" s="243"/>
    </row>
    <row r="378" spans="17:31" ht="19.5" customHeight="1">
      <c r="Q378" s="243"/>
      <c r="R378" s="243"/>
      <c r="S378" s="706" t="s">
        <v>124</v>
      </c>
      <c r="T378" s="653"/>
      <c r="U378" s="653"/>
      <c r="V378" s="653"/>
      <c r="W378" s="653"/>
      <c r="X378" s="653" t="s">
        <v>125</v>
      </c>
      <c r="Y378" s="653"/>
      <c r="Z378" s="653"/>
      <c r="AA378" s="653"/>
      <c r="AB378" s="653"/>
      <c r="AC378" s="654"/>
      <c r="AE378" s="243"/>
    </row>
    <row r="379" spans="17:31" ht="19.5" customHeight="1">
      <c r="Q379" s="243"/>
      <c r="R379" s="243"/>
      <c r="S379" s="707"/>
      <c r="T379" s="651"/>
      <c r="U379" s="651"/>
      <c r="V379" s="651"/>
      <c r="W379" s="651"/>
      <c r="X379" s="507" t="s">
        <v>370</v>
      </c>
      <c r="Y379" s="651" t="s">
        <v>371</v>
      </c>
      <c r="Z379" s="651"/>
      <c r="AA379" s="651"/>
      <c r="AB379" s="651"/>
      <c r="AC379" s="516" t="s">
        <v>372</v>
      </c>
      <c r="AE379" s="243"/>
    </row>
    <row r="380" spans="17:30" ht="19.5" customHeight="1">
      <c r="Q380" s="243"/>
      <c r="R380" s="243"/>
      <c r="S380" s="708" t="str">
        <f>1!H33</f>
        <v>1 - Demir döküm (GG, GGG)</v>
      </c>
      <c r="T380" s="709"/>
      <c r="U380" s="709"/>
      <c r="V380" s="709"/>
      <c r="W380" s="709"/>
      <c r="X380" s="651" t="s">
        <v>373</v>
      </c>
      <c r="Y380" s="651" t="s">
        <v>313</v>
      </c>
      <c r="Z380" s="651"/>
      <c r="AA380" s="651"/>
      <c r="AB380" s="651"/>
      <c r="AC380" s="516" t="s">
        <v>314</v>
      </c>
      <c r="AD380" s="505">
        <f>IF(Y377&lt;7,1,IF(Y377&gt;30,0.7,1.075-0.015*Y377))</f>
        <v>1</v>
      </c>
    </row>
    <row r="381" spans="19:30" ht="19.5" customHeight="1">
      <c r="S381" s="708" t="str">
        <f>1!H34</f>
        <v>2 - Bütün çelikler, (Rm&lt;800 N/mm2, St, GS)</v>
      </c>
      <c r="T381" s="709"/>
      <c r="U381" s="709"/>
      <c r="V381" s="709"/>
      <c r="W381" s="709"/>
      <c r="X381" s="651"/>
      <c r="Y381" s="651" t="s">
        <v>315</v>
      </c>
      <c r="Z381" s="651"/>
      <c r="AA381" s="651"/>
      <c r="AB381" s="651"/>
      <c r="AC381" s="516" t="s">
        <v>374</v>
      </c>
      <c r="AD381" s="517">
        <f>IF(Y377&lt;7,1,IF(Y377&gt;30,0.9,1.03-0.006*Y377))</f>
        <v>1</v>
      </c>
    </row>
    <row r="382" spans="19:30" ht="19.5" customHeight="1" thickBot="1">
      <c r="S382" s="710" t="str">
        <f>1!H35</f>
        <v>3 - Bütün sertleştirilmiş çelikler, (Rm&gt;800 N/mm2)</v>
      </c>
      <c r="T382" s="711"/>
      <c r="U382" s="711"/>
      <c r="V382" s="711"/>
      <c r="W382" s="711"/>
      <c r="X382" s="652"/>
      <c r="Y382" s="652" t="s">
        <v>317</v>
      </c>
      <c r="Z382" s="652"/>
      <c r="AA382" s="652"/>
      <c r="AB382" s="652"/>
      <c r="AC382" s="518" t="s">
        <v>375</v>
      </c>
      <c r="AD382" s="517">
        <f>IF(Y377&lt;7,1,IF(Y377&gt;30,0.8,1.05-0.01*Y377))</f>
        <v>1</v>
      </c>
    </row>
    <row r="383" spans="19:31" ht="15" customHeight="1">
      <c r="S383" s="625">
        <f>1!L33</f>
        <v>3</v>
      </c>
      <c r="T383" s="513"/>
      <c r="U383" s="243"/>
      <c r="V383" s="243"/>
      <c r="W383" s="243"/>
      <c r="X383" s="243"/>
      <c r="Y383" s="243"/>
      <c r="Z383" s="243"/>
      <c r="AA383" s="513"/>
      <c r="AB383" s="513"/>
      <c r="AC383" s="243"/>
      <c r="AD383" s="243"/>
      <c r="AE383" s="243"/>
    </row>
  </sheetData>
  <sheetProtection password="EF77" sheet="1" objects="1" scenarios="1"/>
  <mergeCells count="148">
    <mergeCell ref="B35:E36"/>
    <mergeCell ref="Z326:AA326"/>
    <mergeCell ref="Z327:AA327"/>
    <mergeCell ref="AA248:AB248"/>
    <mergeCell ref="AA249:AB251"/>
    <mergeCell ref="Y274:AB274"/>
    <mergeCell ref="Z264:AC264"/>
    <mergeCell ref="Y250:Z250"/>
    <mergeCell ref="K35:L35"/>
    <mergeCell ref="W183:W184"/>
    <mergeCell ref="V183:V184"/>
    <mergeCell ref="T336:U336"/>
    <mergeCell ref="V336:Y336"/>
    <mergeCell ref="T337:U337"/>
    <mergeCell ref="V337:Y337"/>
    <mergeCell ref="S275:W275"/>
    <mergeCell ref="Y275:AB275"/>
    <mergeCell ref="S276:W276"/>
    <mergeCell ref="Y276:AB276"/>
    <mergeCell ref="S260:W261"/>
    <mergeCell ref="M10:N17"/>
    <mergeCell ref="K34:L34"/>
    <mergeCell ref="X247:AB247"/>
    <mergeCell ref="X181:X182"/>
    <mergeCell ref="Y181:Y182"/>
    <mergeCell ref="Z181:AD181"/>
    <mergeCell ref="Z182:AD182"/>
    <mergeCell ref="S180:U180"/>
    <mergeCell ref="S181:S184"/>
    <mergeCell ref="T183:T184"/>
    <mergeCell ref="C6:D6"/>
    <mergeCell ref="E32:F32"/>
    <mergeCell ref="E33:F33"/>
    <mergeCell ref="S14:AD15"/>
    <mergeCell ref="S17:AD17"/>
    <mergeCell ref="S19:AD20"/>
    <mergeCell ref="S22:AD22"/>
    <mergeCell ref="S24:AD25"/>
    <mergeCell ref="S27:AD27"/>
    <mergeCell ref="M18:N22"/>
    <mergeCell ref="V178:AC178"/>
    <mergeCell ref="AD178:AD179"/>
    <mergeCell ref="S179:U179"/>
    <mergeCell ref="T181:T182"/>
    <mergeCell ref="V181:W182"/>
    <mergeCell ref="AD131:AD132"/>
    <mergeCell ref="T134:T135"/>
    <mergeCell ref="U161:AA161"/>
    <mergeCell ref="U134:V135"/>
    <mergeCell ref="W134:Y134"/>
    <mergeCell ref="U136:V136"/>
    <mergeCell ref="U137:V137"/>
    <mergeCell ref="U138:V138"/>
    <mergeCell ref="U139:V139"/>
    <mergeCell ref="U140:V140"/>
    <mergeCell ref="AD127:AD128"/>
    <mergeCell ref="W129:W130"/>
    <mergeCell ref="X129:X130"/>
    <mergeCell ref="Y129:Y130"/>
    <mergeCell ref="Z129:Z130"/>
    <mergeCell ref="AA129:AA130"/>
    <mergeCell ref="AB129:AB130"/>
    <mergeCell ref="AD129:AD130"/>
    <mergeCell ref="AC129:AC130"/>
    <mergeCell ref="T109:U109"/>
    <mergeCell ref="T110:U110"/>
    <mergeCell ref="T113:U113"/>
    <mergeCell ref="T114:U114"/>
    <mergeCell ref="X260:AC260"/>
    <mergeCell ref="X261:Y261"/>
    <mergeCell ref="Z261:AC261"/>
    <mergeCell ref="S262:W262"/>
    <mergeCell ref="Z262:AC262"/>
    <mergeCell ref="S263:W263"/>
    <mergeCell ref="Z263:AC263"/>
    <mergeCell ref="S264:W264"/>
    <mergeCell ref="T338:U338"/>
    <mergeCell ref="V338:Y338"/>
    <mergeCell ref="T339:U339"/>
    <mergeCell ref="V339:Y339"/>
    <mergeCell ref="S272:W273"/>
    <mergeCell ref="X272:AC272"/>
    <mergeCell ref="Y273:AB273"/>
    <mergeCell ref="S274:W274"/>
    <mergeCell ref="X274:X276"/>
    <mergeCell ref="X183:X184"/>
    <mergeCell ref="Y183:Y184"/>
    <mergeCell ref="Z183:AD184"/>
    <mergeCell ref="S185:S188"/>
    <mergeCell ref="T185:T186"/>
    <mergeCell ref="V185:X186"/>
    <mergeCell ref="Y185:Y186"/>
    <mergeCell ref="Z185:AA186"/>
    <mergeCell ref="V187:W188"/>
    <mergeCell ref="X187:X188"/>
    <mergeCell ref="T211:V211"/>
    <mergeCell ref="S247:W248"/>
    <mergeCell ref="Y248:Z248"/>
    <mergeCell ref="S251:W251"/>
    <mergeCell ref="Y251:Z251"/>
    <mergeCell ref="S249:W249"/>
    <mergeCell ref="Y249:Z249"/>
    <mergeCell ref="S250:W250"/>
    <mergeCell ref="AB185:AD185"/>
    <mergeCell ref="AB186:AD186"/>
    <mergeCell ref="Z187:AA188"/>
    <mergeCell ref="AB187:AD187"/>
    <mergeCell ref="AB188:AD188"/>
    <mergeCell ref="S378:W379"/>
    <mergeCell ref="S380:W380"/>
    <mergeCell ref="S381:W381"/>
    <mergeCell ref="S382:W382"/>
    <mergeCell ref="U141:V141"/>
    <mergeCell ref="U142:V142"/>
    <mergeCell ref="T187:T188"/>
    <mergeCell ref="T163:T164"/>
    <mergeCell ref="T166:T167"/>
    <mergeCell ref="T170:T171"/>
    <mergeCell ref="T173:T174"/>
    <mergeCell ref="S177:U178"/>
    <mergeCell ref="V177:AD177"/>
    <mergeCell ref="Y187:Y188"/>
    <mergeCell ref="W124:AC124"/>
    <mergeCell ref="T124:V126"/>
    <mergeCell ref="X127:X128"/>
    <mergeCell ref="Y127:Y128"/>
    <mergeCell ref="Z127:Z128"/>
    <mergeCell ref="AA127:AA128"/>
    <mergeCell ref="AC127:AC128"/>
    <mergeCell ref="W125:W126"/>
    <mergeCell ref="W127:W128"/>
    <mergeCell ref="AB127:AB128"/>
    <mergeCell ref="AC131:AC132"/>
    <mergeCell ref="T127:V128"/>
    <mergeCell ref="T129:V130"/>
    <mergeCell ref="T131:V132"/>
    <mergeCell ref="W131:W132"/>
    <mergeCell ref="X131:X132"/>
    <mergeCell ref="Y131:Y132"/>
    <mergeCell ref="Z131:Z132"/>
    <mergeCell ref="AA131:AA132"/>
    <mergeCell ref="AB131:AB132"/>
    <mergeCell ref="X380:X382"/>
    <mergeCell ref="X378:AC378"/>
    <mergeCell ref="Y379:AB379"/>
    <mergeCell ref="Y380:AB380"/>
    <mergeCell ref="Y381:AB381"/>
    <mergeCell ref="Y382:AB382"/>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geOrder="overThenDown" paperSize="9" scale="90" r:id="rId58"/>
  <headerFooter alignWithMargins="0">
    <oddFooter>&amp;L&amp;F / &amp;A</oddFooter>
  </headerFooter>
  <ignoredErrors>
    <ignoredError sqref="M8:N8" unlockedFormula="1"/>
    <ignoredError sqref="H32 K22" formula="1"/>
  </ignoredErrors>
  <legacyDrawing r:id="rId57"/>
  <oleObjects>
    <oleObject progId="Equation.3" shapeId="453812" r:id="rId1"/>
    <oleObject progId="Equation.3" shapeId="1825732" r:id="rId2"/>
    <oleObject progId="Equation.3" shapeId="1825733" r:id="rId3"/>
    <oleObject progId="Equation.3" shapeId="1825734" r:id="rId4"/>
    <oleObject progId="Equation.3" shapeId="1825735" r:id="rId5"/>
    <oleObject progId="Equation.3" shapeId="1825736" r:id="rId6"/>
    <oleObject progId="Equation.3" shapeId="1825737" r:id="rId7"/>
    <oleObject progId="Equation.3" shapeId="1825738" r:id="rId8"/>
    <oleObject progId="Equation.3" shapeId="1825739" r:id="rId9"/>
    <oleObject progId="Equation.3" shapeId="1825740" r:id="rId10"/>
    <oleObject progId="Equation.3" shapeId="1825741" r:id="rId11"/>
    <oleObject progId="Equation.3" shapeId="1853256" r:id="rId12"/>
    <oleObject progId="Equation.3" shapeId="1853257" r:id="rId13"/>
    <oleObject progId="Equation.3" shapeId="1854939" r:id="rId14"/>
    <oleObject progId="Equation.3" shapeId="1854940" r:id="rId15"/>
    <oleObject progId="Equation.3" shapeId="1854941" r:id="rId16"/>
    <oleObject progId="Equation.3" shapeId="1854942" r:id="rId17"/>
    <oleObject progId="Equation.3" shapeId="1854943" r:id="rId18"/>
    <oleObject progId="Equation.3" shapeId="1854944" r:id="rId19"/>
    <oleObject progId="Equation.3" shapeId="1891970" r:id="rId20"/>
    <oleObject progId="Equation.3" shapeId="1891971" r:id="rId21"/>
    <oleObject progId="Equation.3" shapeId="1891972" r:id="rId22"/>
    <oleObject progId="Equation.3" shapeId="1891973" r:id="rId23"/>
    <oleObject progId="Equation.3" shapeId="1891974" r:id="rId24"/>
    <oleObject progId="Equation.3" shapeId="1891975" r:id="rId25"/>
    <oleObject progId="Equation.3" shapeId="1891976" r:id="rId26"/>
    <oleObject progId="Equation.3" shapeId="1913468" r:id="rId27"/>
    <oleObject progId="Equation.3" shapeId="1913469" r:id="rId28"/>
    <oleObject progId="Equation.3" shapeId="1913470" r:id="rId29"/>
    <oleObject progId="Equation.3" shapeId="1913471" r:id="rId30"/>
    <oleObject progId="Equation.3" shapeId="1943719" r:id="rId31"/>
    <oleObject progId="Equation.3" shapeId="1943720" r:id="rId32"/>
    <oleObject progId="Equation.3" shapeId="1943721" r:id="rId33"/>
    <oleObject progId="Equation.3" shapeId="1943722" r:id="rId34"/>
    <oleObject progId="Equation.3" shapeId="1943723" r:id="rId35"/>
    <oleObject progId="Equation.3" shapeId="1943724" r:id="rId36"/>
    <oleObject progId="Equation.3" shapeId="1943725" r:id="rId37"/>
    <oleObject progId="Equation.3" shapeId="1943726" r:id="rId38"/>
    <oleObject progId="Equation.3" shapeId="1943727" r:id="rId39"/>
    <oleObject progId="Equation.3" shapeId="1943728" r:id="rId40"/>
    <oleObject progId="Equation.3" shapeId="1943729" r:id="rId41"/>
    <oleObject progId="Equation.3" shapeId="1943730" r:id="rId42"/>
    <oleObject progId="Equation.3" shapeId="1943731" r:id="rId43"/>
    <oleObject progId="Equation.3" shapeId="1943732" r:id="rId44"/>
    <oleObject progId="Equation.3" shapeId="1943733" r:id="rId45"/>
    <oleObject progId="Equation.3" shapeId="1943734" r:id="rId46"/>
    <oleObject progId="Equation.3" shapeId="1943735" r:id="rId47"/>
    <oleObject progId="Equation.3" shapeId="1943736" r:id="rId48"/>
    <oleObject progId="Equation.3" shapeId="1943737" r:id="rId49"/>
    <oleObject progId="Equation.3" shapeId="1943738" r:id="rId50"/>
    <oleObject progId="Equation.3" shapeId="1943739" r:id="rId51"/>
    <oleObject progId="Equation.3" shapeId="1943740" r:id="rId52"/>
    <oleObject progId="Equation.3" shapeId="1943741" r:id="rId53"/>
    <oleObject progId="Equation.3" shapeId="1943742" r:id="rId54"/>
    <oleObject progId="Equation.3" shapeId="1943743" r:id="rId55"/>
    <oleObject progId="Equation.3" shapeId="1943744" r:id="rId56"/>
  </oleObjects>
</worksheet>
</file>

<file path=xl/worksheets/sheet6.xml><?xml version="1.0" encoding="utf-8"?>
<worksheet xmlns="http://schemas.openxmlformats.org/spreadsheetml/2006/main" xmlns:r="http://schemas.openxmlformats.org/officeDocument/2006/relationships">
  <sheetPr codeName="Tabelle6"/>
  <dimension ref="B1:Z45"/>
  <sheetViews>
    <sheetView showGridLines="0" showRowColHeaders="0" zoomScale="80" zoomScaleNormal="80" workbookViewId="0" topLeftCell="A1">
      <selection activeCell="F5" sqref="F5"/>
    </sheetView>
  </sheetViews>
  <sheetFormatPr defaultColWidth="11.421875" defaultRowHeight="15" customHeight="1"/>
  <cols>
    <col min="1" max="5" width="4.28125" style="1" customWidth="1"/>
    <col min="6" max="15" width="9.7109375" style="1" customWidth="1"/>
    <col min="16" max="16" width="1.7109375" style="1" customWidth="1"/>
    <col min="17" max="22" width="5.28125" style="1" customWidth="1"/>
    <col min="23" max="23" width="9.7109375" style="1" customWidth="1"/>
    <col min="24" max="24" width="2.7109375" style="1" customWidth="1"/>
    <col min="25" max="25" width="10.421875" style="1" customWidth="1"/>
    <col min="26" max="26" width="5.7109375" style="1" customWidth="1"/>
    <col min="27" max="27" width="28.57421875" style="1" customWidth="1"/>
    <col min="28" max="16384" width="11.421875" style="1" customWidth="1"/>
  </cols>
  <sheetData>
    <row r="1" spans="3:23" ht="15" customHeight="1">
      <c r="C1" s="4"/>
      <c r="D1" s="93" t="str">
        <f>1!B2</f>
        <v>Proje :</v>
      </c>
      <c r="E1" s="791" t="str">
        <f>1!C2</f>
        <v>Makina</v>
      </c>
      <c r="F1" s="791"/>
      <c r="G1" s="791"/>
      <c r="H1" s="791"/>
      <c r="I1" s="791"/>
      <c r="J1" s="791"/>
      <c r="L1" s="317" t="str">
        <f>Info!B7</f>
        <v>www.guven-kutay.ch</v>
      </c>
      <c r="S1" s="15"/>
      <c r="T1" s="15"/>
      <c r="V1" s="20" t="str">
        <f>Info!M7</f>
        <v>Copyright : M. G. Kutay , Ver 13.01</v>
      </c>
      <c r="W1" s="15"/>
    </row>
    <row r="2" spans="3:23" ht="6.75" customHeight="1">
      <c r="C2" s="4"/>
      <c r="D2" s="93"/>
      <c r="L2" s="317"/>
      <c r="S2" s="15"/>
      <c r="T2" s="15"/>
      <c r="V2" s="20"/>
      <c r="W2" s="15"/>
    </row>
    <row r="3" ht="15" customHeight="1">
      <c r="B3" s="152" t="str">
        <f>IF(Info!H8&gt;2.5,"4. Tolerances and Wk-tolerances",IF(Info!H8&gt;1.5,"4. Toleranzen und   Wk-Toleranzen",IF(Info!H8&gt;0.5,"4. Toleranslar ve Wk-Toleransları","")))</f>
        <v>4. Toleranslar ve Wk-Toleransları</v>
      </c>
    </row>
    <row r="4" ht="6.75" customHeight="1">
      <c r="B4" s="152"/>
    </row>
    <row r="5" spans="5:11" ht="15" customHeight="1">
      <c r="E5" s="15"/>
      <c r="F5" s="8" t="str">
        <f>IF(Info!H8&gt;2.5,"Center distance",IF(Info!H8&gt;1.5,"Achsabstandabmasse  Aa  nach DIN 3964 (Auszug)",IF(Info!H8&gt;0.5,"Alın dişliler için Eksenler arası mesafesi toleransı Aa (DIN 3964)","")))</f>
        <v>Alın dişliler için Eksenler arası mesafesi toleransı Aa (DIN 3964)</v>
      </c>
      <c r="G5" s="15"/>
      <c r="H5" s="15"/>
      <c r="I5" s="15"/>
      <c r="J5" s="15"/>
      <c r="K5" s="15"/>
    </row>
    <row r="6" spans="5:22" ht="15" customHeight="1">
      <c r="E6" s="793" t="s">
        <v>113</v>
      </c>
      <c r="F6" s="248" t="s">
        <v>14</v>
      </c>
      <c r="G6" s="249">
        <f>IF(Q7&gt;5.5,"",IF(Q7&lt;4.5,"","XXXXXX"))</f>
      </c>
      <c r="H6" s="249">
        <f>IF(Q7&gt;6.5,"",IF(Q7&lt;5.5,"","XXXXXX"))</f>
      </c>
      <c r="I6" s="249" t="str">
        <f>IF(Q7&gt;7.5,"",IF(Q7&lt;6.5,"","XXXXXX"))</f>
        <v>XXXXXX</v>
      </c>
      <c r="J6" s="249">
        <f>IF(Q7&gt;8.5,"",IF(Q7&lt;7.5,"","XXXXXX"))</f>
      </c>
      <c r="K6" s="250">
        <f>IF(Q7&gt;9.5,"",IF(Q7&lt;8.5,"","XXXXXX"))</f>
      </c>
      <c r="M6" s="785" t="str">
        <f>1!C9</f>
        <v>Kullanıldığı yer</v>
      </c>
      <c r="N6" s="786"/>
      <c r="O6" s="786"/>
      <c r="P6" s="786"/>
      <c r="Q6" s="783" t="str">
        <f>IF(Info!H8&gt;2.5,"Aa-Line",IF(Info!H8&gt;1.5,"Aa-Reihe",IF(Info!H8&gt;0.5,"Aa-Tol.","")))</f>
        <v>Aa-Tol.</v>
      </c>
      <c r="R6" s="783"/>
      <c r="S6" s="783" t="str">
        <f>IF(Info!H8&gt;2.5,"Asne-Line",IF(Info!H8&gt;1.5,"Asne-Reihe",IF(Info!H8&gt;0.5,"Asne-Tol.","")))</f>
        <v>Asne-Tol.</v>
      </c>
      <c r="T6" s="783"/>
      <c r="U6" s="783" t="str">
        <f>IF(Info!H8&gt;2.5,"Tsn-Line",IF(Info!H8&gt;1.5,"Tsn-Reihe",IF(Info!H8&gt;0.5,"Tsn-Tol.","")))</f>
        <v>Tsn-Tol.</v>
      </c>
      <c r="V6" s="784"/>
    </row>
    <row r="7" spans="5:22" ht="15" customHeight="1">
      <c r="E7" s="793"/>
      <c r="F7" s="103" t="s">
        <v>18</v>
      </c>
      <c r="G7" s="78" t="s">
        <v>19</v>
      </c>
      <c r="H7" s="78" t="s">
        <v>20</v>
      </c>
      <c r="I7" s="78" t="s">
        <v>21</v>
      </c>
      <c r="J7" s="78" t="s">
        <v>22</v>
      </c>
      <c r="K7" s="79" t="s">
        <v>23</v>
      </c>
      <c r="M7" s="794" t="str">
        <f>E1</f>
        <v>Makina</v>
      </c>
      <c r="N7" s="795"/>
      <c r="O7" s="795"/>
      <c r="P7" s="795"/>
      <c r="Q7" s="792">
        <v>7</v>
      </c>
      <c r="R7" s="792"/>
      <c r="S7" s="780" t="s">
        <v>8</v>
      </c>
      <c r="T7" s="780"/>
      <c r="U7" s="780">
        <v>26</v>
      </c>
      <c r="V7" s="781"/>
    </row>
    <row r="8" spans="5:11" ht="15" customHeight="1">
      <c r="E8" s="251">
        <f>IF(AND(H20&lt;18.05,H20&gt;10),"==&gt;","")</f>
      </c>
      <c r="F8" s="104" t="s">
        <v>25</v>
      </c>
      <c r="G8" s="105">
        <v>4</v>
      </c>
      <c r="H8" s="105">
        <v>5.5</v>
      </c>
      <c r="I8" s="105">
        <v>9</v>
      </c>
      <c r="J8" s="105">
        <v>13</v>
      </c>
      <c r="K8" s="106">
        <v>21</v>
      </c>
    </row>
    <row r="9" spans="5:11" ht="15" customHeight="1">
      <c r="E9" s="251">
        <f>IF(AND(H20&lt;30.05,H20&gt;18),"==&gt;","")</f>
      </c>
      <c r="F9" s="81" t="s">
        <v>2</v>
      </c>
      <c r="G9" s="82">
        <v>4.5</v>
      </c>
      <c r="H9" s="82">
        <v>6.5</v>
      </c>
      <c r="I9" s="82">
        <v>10</v>
      </c>
      <c r="J9" s="82">
        <v>16</v>
      </c>
      <c r="K9" s="83">
        <v>26</v>
      </c>
    </row>
    <row r="10" spans="5:22" ht="15" customHeight="1">
      <c r="E10" s="251">
        <f>IF(AND(H20&lt;50.05,H20&gt;30),"==&gt;","")</f>
      </c>
      <c r="F10" s="104" t="s">
        <v>1</v>
      </c>
      <c r="G10" s="105">
        <v>5.5</v>
      </c>
      <c r="H10" s="105">
        <v>8</v>
      </c>
      <c r="I10" s="105">
        <v>12</v>
      </c>
      <c r="J10" s="105">
        <v>19</v>
      </c>
      <c r="K10" s="106">
        <v>31</v>
      </c>
      <c r="M10" s="8" t="str">
        <f>IF(Info!H8&gt;2.5,"Selection criteria after Seifert of the tolerances for center distance and of pitches",IF(Info!H8&gt;1.5,"Auswahlkriterien der Toleranzen für Achsabstand und Zahnweiten nach Seifert",IF(Info!H8&gt;0.5,"Seifert e göre Tolerans seçim kılavuzu","")))</f>
        <v>Seifert e göre Tolerans seçim kılavuzu</v>
      </c>
      <c r="N10" s="15"/>
      <c r="P10" s="15"/>
      <c r="V10" s="15"/>
    </row>
    <row r="11" spans="5:22" ht="15" customHeight="1">
      <c r="E11" s="251">
        <f>IF(AND(H20&lt;80.05,H20&gt;50),"==&gt;","")</f>
      </c>
      <c r="F11" s="81" t="s">
        <v>27</v>
      </c>
      <c r="G11" s="82">
        <v>6.5</v>
      </c>
      <c r="H11" s="82">
        <v>9.5</v>
      </c>
      <c r="I11" s="82">
        <v>15</v>
      </c>
      <c r="J11" s="82">
        <v>23</v>
      </c>
      <c r="K11" s="83">
        <v>37</v>
      </c>
      <c r="M11" s="17" t="str">
        <f>1!C9</f>
        <v>Kullanıldığı yer</v>
      </c>
      <c r="N11" s="25"/>
      <c r="O11" s="252"/>
      <c r="P11" s="25"/>
      <c r="Q11" s="788" t="str">
        <f>IF(Info!H8&gt;2.5,"Aa-Line",IF(Info!H8&gt;1.5,"Aa-Reihe",IF(Info!H8&gt;0.5,"Aa-Tol.","")))</f>
        <v>Aa-Tol.</v>
      </c>
      <c r="R11" s="788"/>
      <c r="S11" s="788" t="str">
        <f>IF(Info!H8&gt;2.5,"Asne-Line",IF(Info!H8&gt;1.5,"Asne-Reihe",IF(Info!H8&gt;0.5,"Asne-Tol.","")))</f>
        <v>Asne-Tol.</v>
      </c>
      <c r="T11" s="788"/>
      <c r="U11" s="788" t="str">
        <f>IF(Info!H8&gt;2.5,"Tsn-Line",IF(Info!H8&gt;1.5,"Tsn-Reihe",IF(Info!H8&gt;0.5,"Tsn-Tol.","")))</f>
        <v>Tsn-Tol.</v>
      </c>
      <c r="V11" s="789"/>
    </row>
    <row r="12" spans="5:22" ht="15" customHeight="1">
      <c r="E12" s="251" t="str">
        <f>IF(AND(H20&lt;120.05,H20&gt;80),"==&gt;","")</f>
        <v>==&gt;</v>
      </c>
      <c r="F12" s="104" t="s">
        <v>28</v>
      </c>
      <c r="G12" s="105">
        <v>7.5</v>
      </c>
      <c r="H12" s="105">
        <v>11</v>
      </c>
      <c r="I12" s="105">
        <v>17</v>
      </c>
      <c r="J12" s="105">
        <v>27</v>
      </c>
      <c r="K12" s="106">
        <v>43</v>
      </c>
      <c r="M12" s="77" t="str">
        <f>IF(Info!H8&gt;2.5,"General machine building",IF(Info!H8&gt;1.5,"Allgemeiner Maschinenbau",IF(Info!H8&gt;0.5,"Genel makina tahrikleri","")))</f>
        <v>Genel makina tahrikleri</v>
      </c>
      <c r="N12" s="87"/>
      <c r="O12" s="253"/>
      <c r="P12" s="87"/>
      <c r="Q12" s="778" t="s">
        <v>9</v>
      </c>
      <c r="R12" s="778"/>
      <c r="S12" s="778" t="s">
        <v>8</v>
      </c>
      <c r="T12" s="778"/>
      <c r="U12" s="778">
        <v>26</v>
      </c>
      <c r="V12" s="779"/>
    </row>
    <row r="13" spans="5:22" ht="15" customHeight="1">
      <c r="E13" s="251">
        <f>IF(AND(H20&lt;180.05,H20&gt;120),"==&gt;","")</f>
      </c>
      <c r="F13" s="81" t="s">
        <v>29</v>
      </c>
      <c r="G13" s="82">
        <v>9</v>
      </c>
      <c r="H13" s="82">
        <v>12</v>
      </c>
      <c r="I13" s="82">
        <v>20</v>
      </c>
      <c r="J13" s="82">
        <v>31</v>
      </c>
      <c r="K13" s="83">
        <v>50</v>
      </c>
      <c r="M13" s="102" t="str">
        <f>IF(Info!H8&gt;2.5,"Pairs of scissors, traversing gears",IF(Info!H8&gt;1.5,"dsgl. reversierend, Scheren, Fahrw.",IF(Info!H8&gt;0.5,"Makas tahrikleri, Yürüyüş tahrikleri","")))</f>
        <v>Makas tahrikleri, Yürüyüş tahrikleri</v>
      </c>
      <c r="N13" s="88"/>
      <c r="O13" s="254"/>
      <c r="P13" s="88"/>
      <c r="Q13" s="782" t="s">
        <v>11</v>
      </c>
      <c r="R13" s="782"/>
      <c r="S13" s="782" t="s">
        <v>10</v>
      </c>
      <c r="T13" s="782"/>
      <c r="U13" s="782">
        <v>25</v>
      </c>
      <c r="V13" s="790"/>
    </row>
    <row r="14" spans="5:22" ht="15" customHeight="1">
      <c r="E14" s="251">
        <f>IF(AND(H20&lt;250.05,H20&gt;180),"==&gt;","")</f>
      </c>
      <c r="F14" s="104" t="s">
        <v>30</v>
      </c>
      <c r="G14" s="105">
        <v>10</v>
      </c>
      <c r="H14" s="105">
        <v>14.5</v>
      </c>
      <c r="I14" s="105">
        <v>23</v>
      </c>
      <c r="J14" s="105">
        <v>36</v>
      </c>
      <c r="K14" s="106">
        <v>57</v>
      </c>
      <c r="M14" s="77" t="str">
        <f>IF(Info!H8&gt;2.5,"Machine tools",IF(Info!H8&gt;1.5,"Werkzeugmaschinen",IF(Info!H8&gt;0.5,"Takım ve imalat makinaları","")))</f>
        <v>Takım ve imalat makinaları</v>
      </c>
      <c r="N14" s="87"/>
      <c r="O14" s="253"/>
      <c r="P14" s="87"/>
      <c r="Q14" s="778" t="s">
        <v>11</v>
      </c>
      <c r="R14" s="778"/>
      <c r="S14" s="778" t="s">
        <v>12</v>
      </c>
      <c r="T14" s="778"/>
      <c r="U14" s="778" t="s">
        <v>13</v>
      </c>
      <c r="V14" s="779"/>
    </row>
    <row r="15" spans="5:24" ht="13.5" customHeight="1">
      <c r="E15" s="251">
        <f>IF(AND(H20&lt;315.05,H20&gt;250),"==&gt;","")</f>
      </c>
      <c r="F15" s="81" t="s">
        <v>31</v>
      </c>
      <c r="G15" s="82">
        <v>11</v>
      </c>
      <c r="H15" s="82">
        <v>16</v>
      </c>
      <c r="I15" s="82">
        <v>26</v>
      </c>
      <c r="J15" s="82">
        <v>40</v>
      </c>
      <c r="K15" s="83">
        <v>65</v>
      </c>
      <c r="L15" s="4"/>
      <c r="M15" s="80" t="str">
        <f>IF(Info!H8&gt;2.5,"Agricultural machinery",IF(Info!H8&gt;1.5,"Landmaschinen",IF(Info!H8&gt;0.5,"Arazi ve Ziraat makinaları","")))</f>
        <v>Arazi ve Ziraat makinaları</v>
      </c>
      <c r="N15" s="88"/>
      <c r="O15" s="88"/>
      <c r="P15" s="88"/>
      <c r="Q15" s="782" t="s">
        <v>17</v>
      </c>
      <c r="R15" s="782"/>
      <c r="S15" s="782" t="s">
        <v>15</v>
      </c>
      <c r="T15" s="782"/>
      <c r="U15" s="782" t="s">
        <v>16</v>
      </c>
      <c r="V15" s="790"/>
      <c r="W15" s="4"/>
      <c r="X15" s="4"/>
    </row>
    <row r="16" spans="5:22" ht="13.5" customHeight="1">
      <c r="E16" s="251">
        <f>IF(AND(H20&lt;400.05,H20&gt;315),"==&gt;","")</f>
      </c>
      <c r="F16" s="104" t="s">
        <v>32</v>
      </c>
      <c r="G16" s="105">
        <v>12</v>
      </c>
      <c r="H16" s="105">
        <v>18</v>
      </c>
      <c r="I16" s="105">
        <v>28</v>
      </c>
      <c r="J16" s="105">
        <v>44</v>
      </c>
      <c r="K16" s="106">
        <v>70</v>
      </c>
      <c r="M16" s="77" t="str">
        <f>IF(Info!H8&gt;2.5,"Motor vehicles",IF(Info!H8&gt;1.5,"Kraftfahrzeuge",IF(Info!H8&gt;0.5,"Kamyon ve İş makinaları","")))</f>
        <v>Kamyon ve İş makinaları</v>
      </c>
      <c r="N16" s="87"/>
      <c r="O16" s="87"/>
      <c r="P16" s="87"/>
      <c r="Q16" s="778" t="s">
        <v>9</v>
      </c>
      <c r="R16" s="778"/>
      <c r="S16" s="778" t="s">
        <v>24</v>
      </c>
      <c r="T16" s="778"/>
      <c r="U16" s="778">
        <v>26</v>
      </c>
      <c r="V16" s="779"/>
    </row>
    <row r="17" spans="5:24" ht="13.5" customHeight="1">
      <c r="E17" s="251">
        <f>IF(AND(H20&lt;500.05,H20&gt;400),"==&gt;","")</f>
      </c>
      <c r="F17" s="111" t="s">
        <v>33</v>
      </c>
      <c r="G17" s="112">
        <v>14</v>
      </c>
      <c r="H17" s="112">
        <v>20</v>
      </c>
      <c r="I17" s="112">
        <v>31</v>
      </c>
      <c r="J17" s="112">
        <v>48</v>
      </c>
      <c r="K17" s="113">
        <v>77</v>
      </c>
      <c r="L17" s="255"/>
      <c r="M17" s="100" t="str">
        <f>IF(Info!H8&gt;2.5,"Epoxy machines",IF(Info!H8&gt;1.5,"Kunststoffmaschinen, Lok-Antriebe",IF(Info!H8&gt;0.5,"Plastik makinaları, Lokomotif tahriki","")))</f>
        <v>Plastik makinaları, Lokomotif tahriki</v>
      </c>
      <c r="N17" s="101"/>
      <c r="O17" s="101"/>
      <c r="P17" s="101"/>
      <c r="Q17" s="775" t="s">
        <v>9</v>
      </c>
      <c r="R17" s="775"/>
      <c r="S17" s="775" t="s">
        <v>26</v>
      </c>
      <c r="T17" s="775"/>
      <c r="U17" s="775">
        <v>25</v>
      </c>
      <c r="V17" s="787"/>
      <c r="W17" s="15"/>
      <c r="X17" s="15"/>
    </row>
    <row r="18" spans="5:25" ht="13.5" customHeight="1" thickBot="1">
      <c r="E18" s="15"/>
      <c r="P18" s="173"/>
      <c r="Q18" s="173"/>
      <c r="R18" s="173"/>
      <c r="S18" s="173"/>
      <c r="T18" s="173"/>
      <c r="U18" s="173"/>
      <c r="V18" s="173"/>
      <c r="X18" s="15"/>
      <c r="Y18" s="15"/>
    </row>
    <row r="19" spans="5:25" ht="13.5" customHeight="1">
      <c r="E19" s="15"/>
      <c r="F19" s="759" t="str">
        <f>1!B27</f>
        <v>Eksenler arası mesafe</v>
      </c>
      <c r="G19" s="760"/>
      <c r="H19" s="269" t="str">
        <f>1!D25</f>
        <v>Pinyon</v>
      </c>
      <c r="I19" s="270" t="str">
        <f>1!D26</f>
        <v>Çark</v>
      </c>
      <c r="P19" s="173"/>
      <c r="Q19" s="173"/>
      <c r="R19" s="173"/>
      <c r="S19" s="173"/>
      <c r="T19" s="173"/>
      <c r="U19" s="173"/>
      <c r="V19" s="173"/>
      <c r="X19" s="15"/>
      <c r="Y19" s="15"/>
    </row>
    <row r="20" spans="6:25" ht="13.5" customHeight="1">
      <c r="F20" s="761"/>
      <c r="G20" s="762"/>
      <c r="H20" s="773">
        <f>1!F27</f>
        <v>91.92</v>
      </c>
      <c r="I20" s="774"/>
      <c r="X20" s="15"/>
      <c r="Y20" s="15"/>
    </row>
    <row r="21" spans="6:9" ht="13.5" customHeight="1">
      <c r="F21" s="763" t="s">
        <v>110</v>
      </c>
      <c r="G21" s="764"/>
      <c r="H21" s="776">
        <v>0.017</v>
      </c>
      <c r="I21" s="777"/>
    </row>
    <row r="22" spans="6:9" ht="13.5" customHeight="1">
      <c r="F22" s="763" t="s">
        <v>24</v>
      </c>
      <c r="G22" s="764"/>
      <c r="H22" s="271">
        <f>2!D30</f>
        <v>36</v>
      </c>
      <c r="I22" s="272">
        <f>2!E30</f>
        <v>144</v>
      </c>
    </row>
    <row r="23" spans="6:9" ht="13.5" customHeight="1">
      <c r="F23" s="763" t="s">
        <v>111</v>
      </c>
      <c r="G23" s="764"/>
      <c r="H23" s="273">
        <v>95</v>
      </c>
      <c r="I23" s="274">
        <v>170</v>
      </c>
    </row>
    <row r="24" spans="6:9" ht="13.5" customHeight="1">
      <c r="F24" s="763" t="s">
        <v>112</v>
      </c>
      <c r="G24" s="764"/>
      <c r="H24" s="275">
        <v>50</v>
      </c>
      <c r="I24" s="276">
        <v>80</v>
      </c>
    </row>
    <row r="25" spans="6:9" ht="13.5" customHeight="1">
      <c r="F25" s="763" t="s">
        <v>89</v>
      </c>
      <c r="G25" s="764"/>
      <c r="H25" s="277">
        <f>H23*COS(1!F21*PI()/180)/(-10^3)</f>
        <v>-0.08927079897466131</v>
      </c>
      <c r="I25" s="278">
        <f>I23*COS(1!F21*PI()/180)/(-10^3)</f>
        <v>-0.15974774553360443</v>
      </c>
    </row>
    <row r="26" spans="6:9" ht="13.5" customHeight="1" thickBot="1">
      <c r="F26" s="765" t="s">
        <v>90</v>
      </c>
      <c r="G26" s="766"/>
      <c r="H26" s="279">
        <f>(H23+H24)*COS(1!F21*PI()/180)/(-10^3)</f>
        <v>-0.13625543001395674</v>
      </c>
      <c r="I26" s="280">
        <f>(I23+I24)*COS(1!F21*PI()/180)/(-10^3)</f>
        <v>-0.2349231551964771</v>
      </c>
    </row>
    <row r="27" spans="5:25" ht="13.5" customHeight="1">
      <c r="E27" s="15"/>
      <c r="F27" s="6" t="str">
        <f>IF(Info!H8&gt;2.5,"Upper teething fat person limit Asne in µ m according to DIN 3967 (excerpt)",IF(Info!H8&gt;1.5,"Obere Zahndickenabmass  Asne in µm nach DIN 3967 (Auszug)",IF(Info!H8&gt;0.5,"Dişkalınlığı üst tolerans mesafesi Asne [µm] DIN 3967 ye göre","")))</f>
        <v>Dişkalınlığı üst tolerans mesafesi Asne [µm] DIN 3967 ye göre</v>
      </c>
      <c r="G27" s="15"/>
      <c r="H27" s="15"/>
      <c r="I27" s="15"/>
      <c r="J27" s="15"/>
      <c r="K27" s="15"/>
      <c r="U27" s="15"/>
      <c r="Y27" s="15"/>
    </row>
    <row r="28" spans="5:25" ht="13.5" customHeight="1">
      <c r="E28" s="767" t="s">
        <v>114</v>
      </c>
      <c r="F28" s="768" t="str">
        <f>2!B30</f>
        <v>Taksimat dairesi</v>
      </c>
      <c r="G28" s="249">
        <f>IF(S7="a","XXXXXX","")</f>
      </c>
      <c r="H28" s="249">
        <f>IF(S7="ab","XXXXXX","")</f>
      </c>
      <c r="I28" s="249" t="str">
        <f>IF(S7="b","XXXXXX","")</f>
        <v>XXXXXX</v>
      </c>
      <c r="J28" s="249">
        <f>IF(S7="bc","XXXXXX","")</f>
      </c>
      <c r="K28" s="249">
        <f>IF(S7="c","XXXXXX","")</f>
      </c>
      <c r="L28" s="249">
        <f>IF(S7="cd","XXXXXX","")</f>
      </c>
      <c r="M28" s="249">
        <f>IF(S7="d","XXXXXX","")</f>
      </c>
      <c r="N28" s="249">
        <f>IF(S7="e","XXXXXX","")</f>
      </c>
      <c r="O28" s="250">
        <f>IF(S7="f","XXXXXX","")</f>
      </c>
      <c r="Q28" s="772" t="s">
        <v>115</v>
      </c>
      <c r="X28" s="15"/>
      <c r="Y28" s="15"/>
    </row>
    <row r="29" spans="5:26" ht="13.5" customHeight="1">
      <c r="E29" s="767"/>
      <c r="F29" s="769"/>
      <c r="G29" s="78" t="s">
        <v>14</v>
      </c>
      <c r="H29" s="78" t="s">
        <v>34</v>
      </c>
      <c r="I29" s="78" t="s">
        <v>8</v>
      </c>
      <c r="J29" s="78" t="s">
        <v>35</v>
      </c>
      <c r="K29" s="96" t="s">
        <v>10</v>
      </c>
      <c r="L29" s="96" t="s">
        <v>36</v>
      </c>
      <c r="M29" s="96" t="s">
        <v>24</v>
      </c>
      <c r="N29" s="96" t="s">
        <v>15</v>
      </c>
      <c r="O29" s="114" t="s">
        <v>12</v>
      </c>
      <c r="Q29" s="772"/>
      <c r="X29" s="15"/>
      <c r="Y29" s="15"/>
      <c r="Z29" s="2"/>
    </row>
    <row r="30" spans="5:26" ht="13.5" customHeight="1">
      <c r="E30" s="256">
        <f>IF($H$22&lt;10,"==&gt;","")</f>
      </c>
      <c r="F30" s="107" t="s">
        <v>37</v>
      </c>
      <c r="G30" s="108">
        <v>-100</v>
      </c>
      <c r="H30" s="108">
        <v>-85</v>
      </c>
      <c r="I30" s="108">
        <v>-70</v>
      </c>
      <c r="J30" s="108">
        <v>-58</v>
      </c>
      <c r="K30" s="109">
        <v>-48</v>
      </c>
      <c r="L30" s="109">
        <v>-40</v>
      </c>
      <c r="M30" s="109">
        <v>-33</v>
      </c>
      <c r="N30" s="109">
        <v>-22</v>
      </c>
      <c r="O30" s="110">
        <v>-10</v>
      </c>
      <c r="Q30" s="257">
        <f>IF($I$22&lt;10,"&lt;==","")</f>
      </c>
      <c r="Y30" s="15"/>
      <c r="Z30" s="2"/>
    </row>
    <row r="31" spans="5:17" ht="13.5" customHeight="1">
      <c r="E31" s="256" t="str">
        <f>IF(AND($H$22&lt;50.05,$H$22&gt;10),"==&gt;","")</f>
        <v>==&gt;</v>
      </c>
      <c r="F31" s="81" t="s">
        <v>38</v>
      </c>
      <c r="G31" s="84">
        <v>-135</v>
      </c>
      <c r="H31" s="84">
        <v>-110</v>
      </c>
      <c r="I31" s="84">
        <v>-95</v>
      </c>
      <c r="J31" s="84">
        <v>-75</v>
      </c>
      <c r="K31" s="97">
        <v>-65</v>
      </c>
      <c r="L31" s="97">
        <v>-54</v>
      </c>
      <c r="M31" s="97">
        <v>-44</v>
      </c>
      <c r="N31" s="97">
        <v>-30</v>
      </c>
      <c r="O31" s="98">
        <v>-14</v>
      </c>
      <c r="Q31" s="257">
        <f>IF(AND($I$22&lt;50.05,$I$22&gt;10),"&lt;==","")</f>
      </c>
    </row>
    <row r="32" spans="5:26" ht="13.5" customHeight="1">
      <c r="E32" s="256">
        <f>IF(AND($H$22&lt;125.05,$H$22&gt;50),"==&gt;","")</f>
      </c>
      <c r="F32" s="104" t="s">
        <v>39</v>
      </c>
      <c r="G32" s="108">
        <v>-180</v>
      </c>
      <c r="H32" s="108">
        <v>-150</v>
      </c>
      <c r="I32" s="108">
        <v>-125</v>
      </c>
      <c r="J32" s="108">
        <v>-105</v>
      </c>
      <c r="K32" s="109">
        <v>-85</v>
      </c>
      <c r="L32" s="109">
        <v>-70</v>
      </c>
      <c r="M32" s="109">
        <v>-60</v>
      </c>
      <c r="N32" s="109">
        <v>-40</v>
      </c>
      <c r="O32" s="110">
        <v>-19</v>
      </c>
      <c r="Q32" s="257">
        <f>IF(AND($I$22&lt;125.05,$I$22&gt;50),"&lt;==","")</f>
      </c>
      <c r="Y32" s="15"/>
      <c r="Z32" s="2"/>
    </row>
    <row r="33" spans="5:26" ht="13.5" customHeight="1">
      <c r="E33" s="256">
        <f>IF(AND($H$22&lt;280.05,$H$22&gt;125),"==&gt;","")</f>
      </c>
      <c r="F33" s="81" t="s">
        <v>40</v>
      </c>
      <c r="G33" s="84">
        <v>-250</v>
      </c>
      <c r="H33" s="84">
        <v>-200</v>
      </c>
      <c r="I33" s="84">
        <v>-170</v>
      </c>
      <c r="J33" s="84">
        <v>-140</v>
      </c>
      <c r="K33" s="97">
        <v>-115</v>
      </c>
      <c r="L33" s="97">
        <v>-95</v>
      </c>
      <c r="M33" s="97">
        <v>-80</v>
      </c>
      <c r="N33" s="97">
        <v>-56</v>
      </c>
      <c r="O33" s="98">
        <v>-26</v>
      </c>
      <c r="Q33" s="257" t="str">
        <f>IF(AND($I$22&lt;280.05,$I$22&gt;125),"&lt;==","")</f>
        <v>&lt;==</v>
      </c>
      <c r="Y33" s="15"/>
      <c r="Z33" s="2"/>
    </row>
    <row r="34" spans="5:26" ht="13.5" customHeight="1">
      <c r="E34" s="256">
        <f>IF(AND($H$22&lt;560.05,$H$22&gt;280),"==&gt;","")</f>
      </c>
      <c r="F34" s="104" t="s">
        <v>41</v>
      </c>
      <c r="G34" s="108">
        <v>-330</v>
      </c>
      <c r="H34" s="108">
        <v>-280</v>
      </c>
      <c r="I34" s="108">
        <v>-230</v>
      </c>
      <c r="J34" s="108">
        <v>-190</v>
      </c>
      <c r="K34" s="109">
        <v>-155</v>
      </c>
      <c r="L34" s="109">
        <v>-130</v>
      </c>
      <c r="M34" s="109">
        <v>-110</v>
      </c>
      <c r="N34" s="109">
        <v>-75</v>
      </c>
      <c r="O34" s="110">
        <v>-35</v>
      </c>
      <c r="Q34" s="257">
        <f>IF(AND($I$22&lt;560.05,$I$22&gt;280),"&lt;==","")</f>
      </c>
      <c r="Y34" s="15"/>
      <c r="Z34" s="2"/>
    </row>
    <row r="35" spans="5:26" ht="13.5" customHeight="1">
      <c r="E35" s="256">
        <f>IF(AND($H$22&lt;1000.05,$H$22&gt;560),"==&gt;","")</f>
      </c>
      <c r="F35" s="111" t="s">
        <v>42</v>
      </c>
      <c r="G35" s="115">
        <v>-450</v>
      </c>
      <c r="H35" s="115">
        <v>-370</v>
      </c>
      <c r="I35" s="115">
        <v>-310</v>
      </c>
      <c r="J35" s="115">
        <v>-260</v>
      </c>
      <c r="K35" s="116">
        <v>-210</v>
      </c>
      <c r="L35" s="116">
        <v>-175</v>
      </c>
      <c r="M35" s="116">
        <v>-145</v>
      </c>
      <c r="N35" s="116">
        <v>-100</v>
      </c>
      <c r="O35" s="117">
        <v>-48</v>
      </c>
      <c r="Q35" s="257">
        <f>IF(AND($I$22&lt;1000.05,$I$22&gt;560),"&lt;==","")</f>
      </c>
      <c r="Y35" s="15"/>
      <c r="Z35" s="2"/>
    </row>
    <row r="36" spans="6:26" ht="13.5" customHeight="1">
      <c r="F36" s="6" t="str">
        <f>IF(Info!H8&gt;2.5,"Teething fat person tolerance TSN in µ m according to DIN 3967 (excerpt)",IF(Info!H8&gt;1.5,"Zahndickentoleranz Tsn in µm nach DIN 3967 (Auszug)",IF(Info!H8&gt;0.5,"Dişkalınlığı tolerans genişliği Tsn [µm] DIN 3967 ye göre","")))</f>
        <v>Dişkalınlığı tolerans genişliği Tsn [µm] DIN 3967 ye göre</v>
      </c>
      <c r="G36" s="15"/>
      <c r="H36" s="15"/>
      <c r="I36" s="15"/>
      <c r="J36" s="15"/>
      <c r="K36" s="90"/>
      <c r="L36" s="90"/>
      <c r="M36" s="90"/>
      <c r="N36" s="90"/>
      <c r="O36" s="90"/>
      <c r="Q36" s="258"/>
      <c r="Z36" s="2"/>
    </row>
    <row r="37" spans="5:26" ht="13.5" customHeight="1">
      <c r="E37" s="767" t="s">
        <v>114</v>
      </c>
      <c r="F37" s="770" t="str">
        <f>F28</f>
        <v>Taksimat dairesi</v>
      </c>
      <c r="G37" s="249">
        <f>IF(U7=21,"XXXXXX","")</f>
      </c>
      <c r="H37" s="249">
        <f>IF(U7=22,"XXXXXX","")</f>
      </c>
      <c r="I37" s="249">
        <f>IF(U7=23,"XXXXXX","")</f>
      </c>
      <c r="J37" s="249">
        <f>IF(U7=24,"XXXXXX","")</f>
      </c>
      <c r="K37" s="249">
        <f>IF(U7=25,"XXXXXX","")</f>
      </c>
      <c r="L37" s="249" t="str">
        <f>IF(U7=26,"XXXXXX","")</f>
        <v>XXXXXX</v>
      </c>
      <c r="M37" s="249">
        <f>IF(U7=27,"XXXXXX","")</f>
      </c>
      <c r="N37" s="249">
        <f>IF(U7=28,"XXXXXX","")</f>
      </c>
      <c r="O37" s="250">
        <f>IF(U7=29,"XXXXXX","")</f>
      </c>
      <c r="Q37" s="772" t="s">
        <v>115</v>
      </c>
      <c r="Y37" s="15"/>
      <c r="Z37" s="2"/>
    </row>
    <row r="38" spans="5:26" ht="13.5" customHeight="1">
      <c r="E38" s="767"/>
      <c r="F38" s="771"/>
      <c r="G38" s="118">
        <v>21</v>
      </c>
      <c r="H38" s="118">
        <v>22</v>
      </c>
      <c r="I38" s="118">
        <v>23</v>
      </c>
      <c r="J38" s="118">
        <v>24</v>
      </c>
      <c r="K38" s="119">
        <v>25</v>
      </c>
      <c r="L38" s="119">
        <v>26</v>
      </c>
      <c r="M38" s="119">
        <v>27</v>
      </c>
      <c r="N38" s="119">
        <v>28</v>
      </c>
      <c r="O38" s="120">
        <v>29</v>
      </c>
      <c r="Q38" s="772"/>
      <c r="V38" s="15"/>
      <c r="Y38" s="15"/>
      <c r="Z38" s="2"/>
    </row>
    <row r="39" spans="5:26" ht="13.5" customHeight="1">
      <c r="E39" s="256">
        <f>IF($H$22&lt;10,"==&gt;","")</f>
      </c>
      <c r="F39" s="107" t="s">
        <v>37</v>
      </c>
      <c r="G39" s="108">
        <v>3</v>
      </c>
      <c r="H39" s="108">
        <v>5</v>
      </c>
      <c r="I39" s="108">
        <v>8</v>
      </c>
      <c r="J39" s="108">
        <v>12</v>
      </c>
      <c r="K39" s="109">
        <v>20</v>
      </c>
      <c r="L39" s="109">
        <v>30</v>
      </c>
      <c r="M39" s="109">
        <v>50</v>
      </c>
      <c r="N39" s="109">
        <v>80</v>
      </c>
      <c r="O39" s="110">
        <v>130</v>
      </c>
      <c r="Q39" s="257">
        <f>IF($I$22&lt;10,"&lt;==","")</f>
      </c>
      <c r="V39" s="15"/>
      <c r="W39" s="15"/>
      <c r="X39" s="15"/>
      <c r="Y39" s="15"/>
      <c r="Z39" s="2"/>
    </row>
    <row r="40" spans="5:26" ht="13.5" customHeight="1">
      <c r="E40" s="256" t="str">
        <f>IF(AND($H$22&lt;50.05,$H$22&gt;10),"==&gt;","")</f>
        <v>==&gt;</v>
      </c>
      <c r="F40" s="81" t="s">
        <v>38</v>
      </c>
      <c r="G40" s="84">
        <v>5</v>
      </c>
      <c r="H40" s="84">
        <v>8</v>
      </c>
      <c r="I40" s="84">
        <v>12</v>
      </c>
      <c r="J40" s="84">
        <v>20</v>
      </c>
      <c r="K40" s="97">
        <v>30</v>
      </c>
      <c r="L40" s="97">
        <v>50</v>
      </c>
      <c r="M40" s="97">
        <v>80</v>
      </c>
      <c r="N40" s="97">
        <v>130</v>
      </c>
      <c r="O40" s="98">
        <v>200</v>
      </c>
      <c r="Q40" s="257">
        <f>IF(AND($I$22&lt;50.05,$I$22&gt;10),"&lt;==","")</f>
      </c>
      <c r="V40" s="15"/>
      <c r="W40" s="15"/>
      <c r="X40" s="15"/>
      <c r="Y40" s="15"/>
      <c r="Z40" s="3"/>
    </row>
    <row r="41" spans="5:26" ht="13.5" customHeight="1">
      <c r="E41" s="256">
        <f>IF(AND($H$22&lt;125.05,$H$22&gt;50),"==&gt;","")</f>
      </c>
      <c r="F41" s="104" t="s">
        <v>39</v>
      </c>
      <c r="G41" s="108">
        <v>6</v>
      </c>
      <c r="H41" s="108">
        <v>10</v>
      </c>
      <c r="I41" s="108">
        <v>16</v>
      </c>
      <c r="J41" s="108">
        <v>25</v>
      </c>
      <c r="K41" s="109">
        <v>40</v>
      </c>
      <c r="L41" s="109">
        <v>60</v>
      </c>
      <c r="M41" s="109">
        <v>100</v>
      </c>
      <c r="N41" s="109">
        <v>160</v>
      </c>
      <c r="O41" s="110">
        <v>250</v>
      </c>
      <c r="Q41" s="257">
        <f>IF(AND($I$22&lt;125.05,$I$22&gt;50),"&lt;==","")</f>
      </c>
      <c r="V41" s="15"/>
      <c r="W41" s="15"/>
      <c r="X41" s="15"/>
      <c r="Y41" s="15"/>
      <c r="Z41" s="3"/>
    </row>
    <row r="42" spans="5:26" ht="13.5" customHeight="1">
      <c r="E42" s="256">
        <f>IF(AND($H$22&lt;280.05,$H$22&gt;125),"==&gt;","")</f>
      </c>
      <c r="F42" s="81" t="s">
        <v>40</v>
      </c>
      <c r="G42" s="84">
        <v>8</v>
      </c>
      <c r="H42" s="84">
        <v>12</v>
      </c>
      <c r="I42" s="84">
        <v>20</v>
      </c>
      <c r="J42" s="84">
        <v>30</v>
      </c>
      <c r="K42" s="97">
        <v>50</v>
      </c>
      <c r="L42" s="97">
        <v>80</v>
      </c>
      <c r="M42" s="97">
        <v>130</v>
      </c>
      <c r="N42" s="97">
        <v>200</v>
      </c>
      <c r="O42" s="98">
        <v>300</v>
      </c>
      <c r="Q42" s="257" t="str">
        <f>IF(AND($I$22&lt;280.05,$I$22&gt;125),"&lt;==","")</f>
        <v>&lt;==</v>
      </c>
      <c r="V42" s="15"/>
      <c r="W42" s="15"/>
      <c r="X42" s="15"/>
      <c r="Y42" s="15"/>
      <c r="Z42" s="3"/>
    </row>
    <row r="43" spans="5:26" ht="12.75" customHeight="1">
      <c r="E43" s="256">
        <f>IF(AND($H$22&lt;560.05,$H$22&gt;280),"==&gt;","")</f>
      </c>
      <c r="F43" s="104" t="s">
        <v>41</v>
      </c>
      <c r="G43" s="108">
        <v>10</v>
      </c>
      <c r="H43" s="108">
        <v>16</v>
      </c>
      <c r="I43" s="108">
        <v>25</v>
      </c>
      <c r="J43" s="108">
        <v>40</v>
      </c>
      <c r="K43" s="109">
        <v>60</v>
      </c>
      <c r="L43" s="109">
        <v>100</v>
      </c>
      <c r="M43" s="109">
        <v>160</v>
      </c>
      <c r="N43" s="109">
        <v>250</v>
      </c>
      <c r="O43" s="110">
        <v>400</v>
      </c>
      <c r="Q43" s="257">
        <f>IF(AND($I$22&lt;560.05,$I$22&gt;280),"&lt;==","")</f>
      </c>
      <c r="V43" s="14"/>
      <c r="W43" s="14"/>
      <c r="X43" s="14"/>
      <c r="Y43" s="14"/>
      <c r="Z43" s="3"/>
    </row>
    <row r="44" spans="5:25" ht="12.75" customHeight="1">
      <c r="E44" s="256">
        <f>IF(AND($H$22&lt;1000.05,$H$22&gt;560),"==&gt;","")</f>
      </c>
      <c r="F44" s="111" t="s">
        <v>42</v>
      </c>
      <c r="G44" s="115">
        <v>12</v>
      </c>
      <c r="H44" s="115">
        <v>20</v>
      </c>
      <c r="I44" s="115">
        <v>30</v>
      </c>
      <c r="J44" s="115">
        <v>50</v>
      </c>
      <c r="K44" s="116">
        <v>80</v>
      </c>
      <c r="L44" s="116">
        <v>130</v>
      </c>
      <c r="M44" s="116">
        <v>200</v>
      </c>
      <c r="N44" s="116">
        <v>300</v>
      </c>
      <c r="O44" s="117">
        <v>500</v>
      </c>
      <c r="Q44" s="257">
        <f>IF(AND($I$22&lt;1000.05,$I$22&gt;560),"&lt;==","")</f>
      </c>
      <c r="V44" s="14"/>
      <c r="W44" s="14"/>
      <c r="X44" s="14"/>
      <c r="Y44" s="14"/>
    </row>
    <row r="45" spans="5:25" ht="12.75" customHeight="1">
      <c r="E45" s="259">
        <f>IF(AND($S$27&lt;1000.05,$S$27&gt;560),"==&gt;","")</f>
      </c>
      <c r="F45" s="14"/>
      <c r="G45" s="14"/>
      <c r="H45" s="14"/>
      <c r="I45" s="14"/>
      <c r="J45" s="14"/>
      <c r="K45" s="99"/>
      <c r="L45" s="99"/>
      <c r="M45" s="99"/>
      <c r="N45" s="99"/>
      <c r="O45" s="99"/>
      <c r="U45" s="14"/>
      <c r="V45" s="14"/>
      <c r="W45" s="14"/>
      <c r="X45" s="14"/>
      <c r="Y45" s="14"/>
    </row>
    <row r="46" ht="12.75" customHeight="1"/>
    <row r="47" ht="12.75" customHeight="1"/>
    <row r="48" ht="12.75" customHeight="1"/>
    <row r="50" ht="12.75" customHeight="1"/>
    <row r="51" ht="12.75" customHeight="1"/>
  </sheetData>
  <sheetProtection password="EF77" sheet="1" objects="1" scenarios="1"/>
  <mergeCells count="46">
    <mergeCell ref="E1:J1"/>
    <mergeCell ref="S7:T7"/>
    <mergeCell ref="Q7:R7"/>
    <mergeCell ref="Q14:R14"/>
    <mergeCell ref="E6:E7"/>
    <mergeCell ref="Q12:R12"/>
    <mergeCell ref="Q13:R13"/>
    <mergeCell ref="S6:T6"/>
    <mergeCell ref="M7:P7"/>
    <mergeCell ref="Q6:R6"/>
    <mergeCell ref="U6:V6"/>
    <mergeCell ref="M6:P6"/>
    <mergeCell ref="U17:V17"/>
    <mergeCell ref="U11:V11"/>
    <mergeCell ref="S11:T11"/>
    <mergeCell ref="Q11:R11"/>
    <mergeCell ref="U13:V13"/>
    <mergeCell ref="Q16:R16"/>
    <mergeCell ref="U15:V15"/>
    <mergeCell ref="Q15:R15"/>
    <mergeCell ref="U16:V16"/>
    <mergeCell ref="U7:V7"/>
    <mergeCell ref="S14:T14"/>
    <mergeCell ref="S15:T15"/>
    <mergeCell ref="S16:T16"/>
    <mergeCell ref="U12:V12"/>
    <mergeCell ref="U14:V14"/>
    <mergeCell ref="S12:T12"/>
    <mergeCell ref="S13:T13"/>
    <mergeCell ref="Q37:Q38"/>
    <mergeCell ref="Q28:Q29"/>
    <mergeCell ref="H20:I20"/>
    <mergeCell ref="S17:T17"/>
    <mergeCell ref="Q17:R17"/>
    <mergeCell ref="H21:I21"/>
    <mergeCell ref="E37:E38"/>
    <mergeCell ref="F28:F29"/>
    <mergeCell ref="F37:F38"/>
    <mergeCell ref="E28:E29"/>
    <mergeCell ref="F19:G20"/>
    <mergeCell ref="F24:G24"/>
    <mergeCell ref="F25:G25"/>
    <mergeCell ref="F26:G26"/>
    <mergeCell ref="F21:G21"/>
    <mergeCell ref="F22:G22"/>
    <mergeCell ref="F23:G23"/>
  </mergeCells>
  <printOptions horizontalCentered="1" verticalCentered="1"/>
  <pageMargins left="0.3937007874015748" right="0.3937007874015748" top="0.5905511811023623" bottom="0.5905511811023623" header="0.5118110236220472" footer="0.5118110236220472"/>
  <pageSetup blackAndWhite="1" horizontalDpi="300" verticalDpi="300" orientation="landscape" paperSize="9" scale="80" r:id="rId3"/>
  <headerFooter alignWithMargins="0">
    <oddFooter>&amp;L&amp;F / &amp;A</oddFooter>
  </headerFooter>
  <legacyDrawing r:id="rId2"/>
  <oleObjects>
    <oleObject progId="AutoCAD.Drawing.15" shapeId="2138312" r:id="rId1"/>
  </oleObjects>
</worksheet>
</file>

<file path=xl/worksheets/sheet7.xml><?xml version="1.0" encoding="utf-8"?>
<worksheet xmlns="http://schemas.openxmlformats.org/spreadsheetml/2006/main" xmlns:r="http://schemas.openxmlformats.org/officeDocument/2006/relationships">
  <sheetPr codeName="Tabelle9"/>
  <dimension ref="A1:T65"/>
  <sheetViews>
    <sheetView showGridLines="0" showRowColHeaders="0" workbookViewId="0" topLeftCell="A1">
      <selection activeCell="B22" sqref="B22:J22"/>
    </sheetView>
  </sheetViews>
  <sheetFormatPr defaultColWidth="11.421875" defaultRowHeight="15" customHeight="1"/>
  <cols>
    <col min="1" max="1" width="5.140625" style="316" customWidth="1"/>
    <col min="2" max="2" width="17.7109375" style="316" customWidth="1"/>
    <col min="3" max="3" width="7.7109375" style="316" customWidth="1"/>
    <col min="4" max="4" width="12.28125" style="316" customWidth="1"/>
    <col min="5" max="5" width="13.28125" style="316" customWidth="1"/>
    <col min="6" max="6" width="4.28125" style="316" customWidth="1"/>
    <col min="7" max="7" width="10.421875" style="316" customWidth="1"/>
    <col min="8" max="9" width="11.28125" style="316" customWidth="1"/>
    <col min="10" max="10" width="3.7109375" style="351" customWidth="1"/>
    <col min="11" max="11" width="10.421875" style="316" customWidth="1"/>
    <col min="12" max="12" width="11.28125" style="316" customWidth="1"/>
    <col min="13" max="13" width="4.28125" style="316" customWidth="1"/>
    <col min="14" max="14" width="10.421875" style="316" customWidth="1"/>
    <col min="15" max="15" width="11.28125" style="316" customWidth="1"/>
    <col min="16" max="17" width="5.7109375" style="316" customWidth="1"/>
    <col min="18" max="31" width="10.421875" style="316" customWidth="1"/>
    <col min="32" max="35" width="11.421875" style="316" customWidth="1"/>
    <col min="36" max="36" width="9.7109375" style="316" customWidth="1"/>
    <col min="37" max="16384" width="11.421875" style="316" customWidth="1"/>
  </cols>
  <sheetData>
    <row r="1" spans="2:15" ht="15" customHeight="1">
      <c r="B1" s="317" t="str">
        <f>Info!B7</f>
        <v>www.guven-kutay.ch</v>
      </c>
      <c r="J1" s="316"/>
      <c r="O1" s="318" t="str">
        <f>Info!M7</f>
        <v>Copyright : M. G. Kutay , Ver 13.01</v>
      </c>
    </row>
    <row r="2" spans="1:17" ht="15" customHeight="1">
      <c r="A2" s="319"/>
      <c r="B2" s="318" t="str">
        <f>1!B2</f>
        <v>Proje :</v>
      </c>
      <c r="C2" s="320" t="str">
        <f>1!C2</f>
        <v>Makina</v>
      </c>
      <c r="D2" s="320"/>
      <c r="E2" s="321"/>
      <c r="F2" s="321"/>
      <c r="G2" s="322"/>
      <c r="H2" s="322"/>
      <c r="I2" s="322"/>
      <c r="J2" s="322"/>
      <c r="K2" s="322"/>
      <c r="M2" s="319"/>
      <c r="Q2" s="319"/>
    </row>
    <row r="3" spans="1:17" ht="6.75" customHeight="1">
      <c r="A3" s="319"/>
      <c r="B3" s="318"/>
      <c r="C3" s="1"/>
      <c r="D3" s="1"/>
      <c r="E3" s="1"/>
      <c r="F3" s="1"/>
      <c r="G3" s="1"/>
      <c r="H3" s="1"/>
      <c r="I3" s="1"/>
      <c r="J3" s="1"/>
      <c r="K3" s="1"/>
      <c r="M3" s="319"/>
      <c r="Q3" s="319"/>
    </row>
    <row r="4" spans="2:10" ht="15" customHeight="1">
      <c r="B4" s="486" t="str">
        <f>IF(Info!H8&gt;2.5,"5. Application factor",IF(Info!H8&gt;1.5,"5. Anwendungsfaktor",IF(Info!H8&gt;0.5,"5. İşletme faktörü ","")))</f>
        <v>5. İşletme faktörü </v>
      </c>
      <c r="J4" s="316"/>
    </row>
    <row r="5" spans="2:15" ht="15" customHeight="1">
      <c r="B5" s="803" t="str">
        <f>IF(Info!H8&gt;2.5,B38,IF(Info!H8&gt;1.5,B34,B30))</f>
        <v>İşletme faktörü dişli çarkın kullanıldığı işletmedeki kuvvetlerin dalgalanmasını ve tahrik elemanı ile tahrik edilen makinanın zorlanma dalgalanmalarını belirler.</v>
      </c>
      <c r="C5" s="803"/>
      <c r="D5" s="803"/>
      <c r="E5" s="803"/>
      <c r="F5" s="803"/>
      <c r="G5" s="803"/>
      <c r="H5" s="803"/>
      <c r="I5" s="803"/>
      <c r="J5" s="803"/>
      <c r="K5" s="319"/>
      <c r="M5" s="323" t="str">
        <f>3!H20</f>
        <v>İşletme faktörü </v>
      </c>
      <c r="N5" s="324" t="str">
        <f>IF(Info!H8&gt;2.5,"KA =",IF(Info!H8&gt;1.5,"KA =","KİŞ ="))</f>
        <v>KİŞ =</v>
      </c>
      <c r="O5" s="325">
        <v>1.25</v>
      </c>
    </row>
    <row r="6" spans="2:15" ht="15" customHeight="1">
      <c r="B6" s="803"/>
      <c r="C6" s="803"/>
      <c r="D6" s="803"/>
      <c r="E6" s="803"/>
      <c r="F6" s="803"/>
      <c r="G6" s="803"/>
      <c r="H6" s="803"/>
      <c r="I6" s="803"/>
      <c r="J6" s="803"/>
      <c r="K6" s="326"/>
      <c r="M6" s="327" t="str">
        <f>1!C9</f>
        <v>Kullanıldığı yer</v>
      </c>
      <c r="N6" s="797" t="str">
        <f>1!E9</f>
        <v>Genel</v>
      </c>
      <c r="O6" s="798"/>
    </row>
    <row r="7" spans="2:10" ht="15" customHeight="1">
      <c r="B7" s="803"/>
      <c r="C7" s="803"/>
      <c r="D7" s="803"/>
      <c r="E7" s="803"/>
      <c r="F7" s="803"/>
      <c r="G7" s="803"/>
      <c r="H7" s="803"/>
      <c r="I7" s="803"/>
      <c r="J7" s="803"/>
    </row>
    <row r="8" spans="2:10" ht="15" customHeight="1">
      <c r="B8" s="328" t="str">
        <f>IF(Info!H8&gt;2.5,"Driving engine",IF(Info!H8&gt;1.5,"Antriebsmaschine","Tahrik eden makina"))</f>
        <v>Tahrik eden makina</v>
      </c>
      <c r="J8" s="316"/>
    </row>
    <row r="9" spans="1:16" ht="15" customHeight="1">
      <c r="A9" s="329" t="s">
        <v>164</v>
      </c>
      <c r="B9" s="330" t="str">
        <f>IF(Info!H8&gt;2.5,"Strong crushes ",IF(Info!H8&gt;1.5,"starke Stösse,","Ağır yüklemeli, kuvvetli darbeli. "))</f>
        <v>Ağır yüklemeli, kuvvetli darbeli. </v>
      </c>
      <c r="C9" s="331"/>
      <c r="D9" s="331"/>
      <c r="E9" s="331" t="str">
        <f>IF(Info!H8&gt;2.5,"for example (e.g.); single cylinder-combustion motors  ",IF(Info!H8&gt;1.5,"z.B. Einzylinder-Verbrennungsmotoren","Örneğin: Tek silindirli motorlar"))</f>
        <v>Örneğin: Tek silindirli motorlar</v>
      </c>
      <c r="F9" s="331"/>
      <c r="G9" s="331"/>
      <c r="H9" s="331"/>
      <c r="I9" s="331"/>
      <c r="J9" s="331"/>
      <c r="K9" s="331"/>
      <c r="L9" s="331"/>
      <c r="M9" s="331"/>
      <c r="N9" s="331"/>
      <c r="O9" s="331"/>
      <c r="P9" s="332"/>
    </row>
    <row r="10" spans="1:16" ht="15" customHeight="1">
      <c r="A10" s="329" t="s">
        <v>165</v>
      </c>
      <c r="B10" s="333" t="str">
        <f>IF(Info!H8&gt;2.5,"Moderate crushes ",IF(Info!H8&gt;1.5,"Mässige Stösse,","Orta yüklemeli, normal darbeli. "))</f>
        <v>Orta yüklemeli, normal darbeli. </v>
      </c>
      <c r="C10" s="334"/>
      <c r="D10" s="334"/>
      <c r="E10" s="334" t="str">
        <f>IF(Info!H8&gt;2.5,"for example (e.g.); more cylinders-combustion motors ",IF(Info!H8&gt;1.5,"z.B.Mehrzylinder-Verbrennungsmotoren","Örneğin: Çok silindirli motorlar"))</f>
        <v>Örneğin: Çok silindirli motorlar</v>
      </c>
      <c r="F10" s="334"/>
      <c r="G10" s="334"/>
      <c r="H10" s="334"/>
      <c r="I10" s="334"/>
      <c r="J10" s="334"/>
      <c r="K10" s="334"/>
      <c r="L10" s="334"/>
      <c r="M10" s="334"/>
      <c r="N10" s="334"/>
      <c r="O10" s="335"/>
      <c r="P10" s="332"/>
    </row>
    <row r="11" spans="1:16" ht="15" customHeight="1">
      <c r="A11" s="329" t="s">
        <v>166</v>
      </c>
      <c r="B11" s="330" t="str">
        <f>IF(Info!H8&gt;2.5,"Light crushes ",IF(Info!H8&gt;1.5,"Leichte Stösse, ","Hafif yüklemeli, düzenli darbeli. "))</f>
        <v>Hafif yüklemeli, düzenli darbeli. </v>
      </c>
      <c r="C11" s="331"/>
      <c r="D11" s="331"/>
      <c r="E11" s="331" t="str">
        <f>IF(Info!H8&gt;2.5,"for example (e.g.); frequent starting moment",IF(Info!H8&gt;1.5,"z.B. häufig auftretennde Anfahrmomente","Örneğin: Düzenli fakat sık sık çalıştırılan makinalar"))</f>
        <v>Örneğin: Düzenli fakat sık sık çalıştırılan makinalar</v>
      </c>
      <c r="F11" s="331"/>
      <c r="G11" s="331"/>
      <c r="H11" s="331"/>
      <c r="I11" s="331"/>
      <c r="J11" s="331"/>
      <c r="K11" s="331"/>
      <c r="L11" s="331"/>
      <c r="M11" s="331"/>
      <c r="N11" s="332"/>
      <c r="O11" s="335"/>
      <c r="P11" s="332"/>
    </row>
    <row r="12" spans="1:16" ht="15" customHeight="1">
      <c r="A12" s="329" t="s">
        <v>167</v>
      </c>
      <c r="B12" s="333" t="str">
        <f>IF(Info!H8&gt;2.5,"Constant crushes ",IF(Info!H8&gt;1.5,"Gleichmässige Stösse,","Düzenli yüklemeli."))</f>
        <v>Düzenli yüklemeli.</v>
      </c>
      <c r="C12" s="334"/>
      <c r="D12" s="334"/>
      <c r="E12" s="334" t="str">
        <f>IF(Info!H8&gt;2.5,"for example (e.g.) ; electric motors, steam turbine, gas turbine",IF(Info!H8&gt;1.5,"z.B. Elektromotren, Dampfturbine, Gasturbine","Örneğin: Elektrik motorları, Buhar türbini, Gas türbini"))</f>
        <v>Örneğin: Elektrik motorları, Buhar türbini, Gas türbini</v>
      </c>
      <c r="F12" s="334"/>
      <c r="G12" s="334"/>
      <c r="H12" s="334"/>
      <c r="I12" s="334"/>
      <c r="J12" s="334"/>
      <c r="K12" s="334"/>
      <c r="L12" s="335"/>
      <c r="M12" s="336"/>
      <c r="N12" s="332"/>
      <c r="O12" s="335"/>
      <c r="P12" s="332"/>
    </row>
    <row r="13" spans="2:16" ht="15" customHeight="1">
      <c r="B13" s="334"/>
      <c r="C13" s="334"/>
      <c r="D13" s="334"/>
      <c r="E13" s="334"/>
      <c r="F13" s="334"/>
      <c r="G13" s="334"/>
      <c r="H13" s="334"/>
      <c r="I13" s="334"/>
      <c r="J13" s="334"/>
      <c r="K13" s="332"/>
      <c r="L13" s="335"/>
      <c r="M13" s="336"/>
      <c r="N13" s="332"/>
      <c r="O13" s="335"/>
      <c r="P13" s="332"/>
    </row>
    <row r="14" spans="2:16" ht="15" customHeight="1">
      <c r="B14" s="328" t="str">
        <f>IF(Info!H8&gt;2.5,"Driven machine",IF(Info!H8&gt;1.5,"Getriebene Maschine","Tahrik edilen makina"))</f>
        <v>Tahrik edilen makina</v>
      </c>
      <c r="J14" s="337"/>
      <c r="K14" s="332"/>
      <c r="L14" s="335"/>
      <c r="M14" s="338"/>
      <c r="N14" s="332"/>
      <c r="O14" s="335"/>
      <c r="P14" s="332"/>
    </row>
    <row r="15" spans="2:15" ht="15" customHeight="1">
      <c r="B15" s="339" t="str">
        <f>B12</f>
        <v>Düzenli yüklemeli.</v>
      </c>
      <c r="C15" s="334"/>
      <c r="D15" s="334"/>
      <c r="E15" s="334"/>
      <c r="F15" s="334"/>
      <c r="G15" s="334"/>
      <c r="H15" s="334"/>
      <c r="I15" s="334"/>
      <c r="J15" s="334"/>
      <c r="K15" s="333"/>
      <c r="L15" s="330"/>
      <c r="M15" s="331"/>
      <c r="N15" s="333"/>
      <c r="O15" s="340"/>
    </row>
    <row r="16" spans="1:15" ht="45" customHeight="1">
      <c r="A16" s="341" t="s">
        <v>168</v>
      </c>
      <c r="B16" s="804" t="str">
        <f>IF(Info!H8&gt;2.5,B45,IF(Info!H8&gt;1.5,B43,B41))</f>
        <v>Örneğin: Rayda çalışan makinalar, jeneratörler, ceraskallar, takım tezgahları, makaslar, presler, lastik bantlı konveyyörler, hafif yük asansörleri, turbo kompresör, turbo körük, havalandırıcılar, homojen yoğunluklu madde karıştırıcıları ve  yoğurucuları, ...</v>
      </c>
      <c r="C16" s="805"/>
      <c r="D16" s="805"/>
      <c r="E16" s="805"/>
      <c r="F16" s="805"/>
      <c r="G16" s="805"/>
      <c r="H16" s="805"/>
      <c r="I16" s="805"/>
      <c r="J16" s="806"/>
      <c r="K16" s="342" t="s">
        <v>169</v>
      </c>
      <c r="L16" s="343" t="s">
        <v>170</v>
      </c>
      <c r="M16" s="344"/>
      <c r="N16" s="342" t="s">
        <v>171</v>
      </c>
      <c r="O16" s="345" t="s">
        <v>172</v>
      </c>
    </row>
    <row r="17" spans="2:15" ht="15" customHeight="1">
      <c r="B17" s="339" t="str">
        <f>B10</f>
        <v>Orta yüklemeli, normal darbeli. </v>
      </c>
      <c r="C17" s="334"/>
      <c r="D17" s="334"/>
      <c r="E17" s="334"/>
      <c r="F17" s="334"/>
      <c r="G17" s="334"/>
      <c r="H17" s="334"/>
      <c r="I17" s="334"/>
      <c r="J17" s="334"/>
      <c r="K17" s="333"/>
      <c r="L17" s="330"/>
      <c r="M17" s="331"/>
      <c r="N17" s="333"/>
      <c r="O17" s="340"/>
    </row>
    <row r="18" spans="1:15" ht="55.5" customHeight="1">
      <c r="A18" s="341" t="s">
        <v>173</v>
      </c>
      <c r="B18" s="804" t="str">
        <f>IF(Info!H8&gt;2.5,B53,IF(Info!H8&gt;1.5,B51,B49))</f>
        <v>Örneğin: Yol inşaat makinaları, yük asansörleri, çelik bantlı konveyyörler, inşaat asansörleri, vinç dönüş mekanizmaları, tambur kurutucular, boru hattı pompaları, planyalar, homojen yoğunluklta olmayan madde karıştırıcı ve yoğurucuları, endüstiri ve maden ocağı havalandırıcıları, Santrafuj pompalar, çok silindirli pistonlu pompalar, ...</v>
      </c>
      <c r="C18" s="805"/>
      <c r="D18" s="805"/>
      <c r="E18" s="805"/>
      <c r="F18" s="805"/>
      <c r="G18" s="805"/>
      <c r="H18" s="805"/>
      <c r="I18" s="805"/>
      <c r="J18" s="806"/>
      <c r="K18" s="342" t="s">
        <v>171</v>
      </c>
      <c r="L18" s="343" t="s">
        <v>174</v>
      </c>
      <c r="M18" s="344"/>
      <c r="N18" s="342" t="s">
        <v>172</v>
      </c>
      <c r="O18" s="345" t="s">
        <v>175</v>
      </c>
    </row>
    <row r="19" spans="2:15" ht="15" customHeight="1">
      <c r="B19" s="339" t="str">
        <f>IF(Info!H8&gt;2.5,"Middel crushes",IF(Info!H8&gt;1.5,"Mittlere Stösse:","Orta yüklemeli, normal darbeli:"))</f>
        <v>Orta yüklemeli, normal darbeli:</v>
      </c>
      <c r="C19" s="334"/>
      <c r="D19" s="334"/>
      <c r="E19" s="334"/>
      <c r="F19" s="334"/>
      <c r="G19" s="334"/>
      <c r="H19" s="334"/>
      <c r="I19" s="334"/>
      <c r="J19" s="334"/>
      <c r="K19" s="333"/>
      <c r="L19" s="330"/>
      <c r="M19" s="331"/>
      <c r="N19" s="333"/>
      <c r="O19" s="340"/>
    </row>
    <row r="20" spans="1:15" ht="60" customHeight="1">
      <c r="A20" s="341" t="s">
        <v>176</v>
      </c>
      <c r="B20" s="804" t="str">
        <f>IF(Info!H8&gt;2.5,B59,IF(Info!H8&gt;1.5,B57,B55))</f>
        <v>Örneğin: Hafif akışkanlı çalkalayıcılar, santrfujlar, Lastik bantlı konveyyörler, kovalı elevatörler, vantilatörler, ağaç işleme makinaları, vinç yürüyüşleri, dönüş tertibatları, takım tezgahları yardımcı tahrikleri, şişe ve kavanoz doldurma makinaları, ambalaj makinaları, hafif akışkan türbinler, ...</v>
      </c>
      <c r="C20" s="805"/>
      <c r="D20" s="805"/>
      <c r="E20" s="805"/>
      <c r="F20" s="805"/>
      <c r="G20" s="805"/>
      <c r="H20" s="805"/>
      <c r="I20" s="805"/>
      <c r="J20" s="806"/>
      <c r="K20" s="342" t="s">
        <v>172</v>
      </c>
      <c r="L20" s="343" t="s">
        <v>177</v>
      </c>
      <c r="M20" s="344"/>
      <c r="N20" s="342" t="s">
        <v>175</v>
      </c>
      <c r="O20" s="345" t="s">
        <v>178</v>
      </c>
    </row>
    <row r="21" spans="2:15" ht="15" customHeight="1">
      <c r="B21" s="339" t="str">
        <f>B9</f>
        <v>Ağır yüklemeli, kuvvetli darbeli. </v>
      </c>
      <c r="C21" s="334"/>
      <c r="D21" s="334"/>
      <c r="E21" s="334"/>
      <c r="F21" s="334"/>
      <c r="G21" s="334"/>
      <c r="H21" s="334"/>
      <c r="I21" s="334"/>
      <c r="J21" s="334"/>
      <c r="K21" s="333"/>
      <c r="L21" s="330"/>
      <c r="M21" s="331"/>
      <c r="N21" s="333"/>
      <c r="O21" s="340"/>
    </row>
    <row r="22" spans="1:15" ht="75" customHeight="1">
      <c r="A22" s="341" t="s">
        <v>179</v>
      </c>
      <c r="B22" s="804" t="str">
        <f>IF(Info!H8&gt;2.5,B65,IF(Info!H8&gt;1.5,B63,B61))</f>
        <v>Örneğin: Zincirli kovalı ekskavatörler, paletli yürüyüşler, kovalı çarklar, kesici kafalar, kuyu açma mekanizmaları, insan asansörleri, eğik asansörler, yoğurma ve silindirleme makinaları, vinçler ve bumlar, şahmerdanlar, planyalar, presler, makaslar, sıcak basma presleri, haddeler, ağaç işleme makinaları, şerit testereler, tuğla ve briket presleri, şeker kamışı öğütücüleri, pistonlu pompalar ve kompresörler, kırıcılar, değirmenler, ...</v>
      </c>
      <c r="C22" s="805"/>
      <c r="D22" s="805"/>
      <c r="E22" s="805"/>
      <c r="F22" s="805"/>
      <c r="G22" s="805"/>
      <c r="H22" s="805"/>
      <c r="I22" s="805"/>
      <c r="J22" s="806"/>
      <c r="K22" s="346" t="s">
        <v>175</v>
      </c>
      <c r="L22" s="347" t="s">
        <v>180</v>
      </c>
      <c r="M22" s="348"/>
      <c r="N22" s="346" t="s">
        <v>181</v>
      </c>
      <c r="O22" s="349" t="s">
        <v>182</v>
      </c>
    </row>
    <row r="23" spans="10:15" ht="15" customHeight="1">
      <c r="J23" s="316"/>
      <c r="K23" s="341" t="s">
        <v>167</v>
      </c>
      <c r="L23" s="341" t="s">
        <v>166</v>
      </c>
      <c r="M23" s="350"/>
      <c r="N23" s="341" t="s">
        <v>165</v>
      </c>
      <c r="O23" s="341" t="s">
        <v>164</v>
      </c>
    </row>
    <row r="24" ht="15" customHeight="1" hidden="1">
      <c r="J24" s="316"/>
    </row>
    <row r="25" ht="15" customHeight="1" hidden="1"/>
    <row r="26" ht="15" customHeight="1" hidden="1"/>
    <row r="27" ht="15" customHeight="1" hidden="1"/>
    <row r="28" ht="15" customHeight="1" hidden="1"/>
    <row r="29" ht="15" customHeight="1" hidden="1"/>
    <row r="30" spans="2:20" ht="15" customHeight="1" hidden="1">
      <c r="B30" s="807" t="s">
        <v>183</v>
      </c>
      <c r="C30" s="807"/>
      <c r="D30" s="807"/>
      <c r="E30" s="807"/>
      <c r="F30" s="807"/>
      <c r="G30" s="807"/>
      <c r="H30" s="807"/>
      <c r="I30" s="807"/>
      <c r="L30" s="1"/>
      <c r="M30" s="1"/>
      <c r="N30" s="1"/>
      <c r="O30" s="1"/>
      <c r="P30" s="1"/>
      <c r="Q30" s="1"/>
      <c r="R30" s="1"/>
      <c r="S30" s="1"/>
      <c r="T30" s="1"/>
    </row>
    <row r="31" spans="2:20" ht="15" customHeight="1" hidden="1">
      <c r="B31" s="807"/>
      <c r="C31" s="807"/>
      <c r="D31" s="807"/>
      <c r="E31" s="807"/>
      <c r="F31" s="807"/>
      <c r="G31" s="807"/>
      <c r="H31" s="807"/>
      <c r="I31" s="807"/>
      <c r="L31" s="1"/>
      <c r="M31" s="1"/>
      <c r="N31" s="1"/>
      <c r="O31" s="1"/>
      <c r="P31" s="1"/>
      <c r="Q31" s="1"/>
      <c r="R31" s="1"/>
      <c r="S31" s="1"/>
      <c r="T31" s="1"/>
    </row>
    <row r="32" spans="2:20" ht="15" customHeight="1" hidden="1">
      <c r="B32" s="807"/>
      <c r="C32" s="807"/>
      <c r="D32" s="807"/>
      <c r="E32" s="807"/>
      <c r="F32" s="807"/>
      <c r="G32" s="807"/>
      <c r="H32" s="807"/>
      <c r="I32" s="807"/>
      <c r="L32" s="1"/>
      <c r="M32" s="1"/>
      <c r="N32" s="1"/>
      <c r="O32" s="1"/>
      <c r="P32" s="1"/>
      <c r="Q32" s="1"/>
      <c r="R32" s="1"/>
      <c r="S32" s="1"/>
      <c r="T32" s="1"/>
    </row>
    <row r="33" spans="12:20" ht="15" customHeight="1" hidden="1">
      <c r="L33" s="1"/>
      <c r="M33" s="1"/>
      <c r="N33" s="1"/>
      <c r="O33" s="1"/>
      <c r="P33" s="1"/>
      <c r="Q33" s="1"/>
      <c r="R33" s="1"/>
      <c r="S33" s="1"/>
      <c r="T33" s="1"/>
    </row>
    <row r="34" spans="2:20" ht="15" customHeight="1" hidden="1">
      <c r="B34" s="808" t="s">
        <v>184</v>
      </c>
      <c r="C34" s="809"/>
      <c r="D34" s="809"/>
      <c r="E34" s="809"/>
      <c r="F34" s="809"/>
      <c r="G34" s="809"/>
      <c r="H34" s="809"/>
      <c r="I34" s="809"/>
      <c r="J34" s="353"/>
      <c r="L34" s="1"/>
      <c r="M34" s="1"/>
      <c r="N34" s="1"/>
      <c r="O34" s="1"/>
      <c r="P34" s="1"/>
      <c r="Q34" s="1"/>
      <c r="R34" s="1"/>
      <c r="S34" s="1"/>
      <c r="T34" s="1"/>
    </row>
    <row r="35" spans="2:20" ht="15" customHeight="1" hidden="1">
      <c r="B35" s="809"/>
      <c r="C35" s="809"/>
      <c r="D35" s="809"/>
      <c r="E35" s="809"/>
      <c r="F35" s="809"/>
      <c r="G35" s="809"/>
      <c r="H35" s="809"/>
      <c r="I35" s="809"/>
      <c r="J35" s="353"/>
      <c r="L35" s="1"/>
      <c r="M35" s="1"/>
      <c r="N35" s="1"/>
      <c r="O35" s="1"/>
      <c r="P35" s="1"/>
      <c r="Q35" s="1"/>
      <c r="R35" s="1"/>
      <c r="S35" s="1"/>
      <c r="T35" s="1"/>
    </row>
    <row r="36" spans="2:20" ht="15" customHeight="1" hidden="1">
      <c r="B36" s="809"/>
      <c r="C36" s="809"/>
      <c r="D36" s="809"/>
      <c r="E36" s="809"/>
      <c r="F36" s="809"/>
      <c r="G36" s="809"/>
      <c r="H36" s="809"/>
      <c r="I36" s="809"/>
      <c r="J36" s="353"/>
      <c r="L36" s="1"/>
      <c r="M36" s="1"/>
      <c r="N36" s="1"/>
      <c r="O36" s="1"/>
      <c r="P36" s="1"/>
      <c r="Q36" s="1"/>
      <c r="R36" s="1"/>
      <c r="S36" s="1"/>
      <c r="T36" s="1"/>
    </row>
    <row r="37" spans="12:20" ht="15" customHeight="1" hidden="1">
      <c r="L37" s="1"/>
      <c r="M37" s="1"/>
      <c r="N37" s="1"/>
      <c r="O37" s="1"/>
      <c r="P37" s="1"/>
      <c r="Q37" s="1"/>
      <c r="R37" s="1"/>
      <c r="S37" s="1"/>
      <c r="T37" s="1"/>
    </row>
    <row r="38" spans="2:20" ht="15" customHeight="1" hidden="1">
      <c r="B38" s="810" t="s">
        <v>185</v>
      </c>
      <c r="C38" s="810"/>
      <c r="D38" s="810"/>
      <c r="E38" s="810"/>
      <c r="F38" s="810"/>
      <c r="G38" s="810"/>
      <c r="H38" s="810"/>
      <c r="I38" s="810"/>
      <c r="L38" s="1"/>
      <c r="M38" s="1"/>
      <c r="N38" s="1"/>
      <c r="O38" s="1"/>
      <c r="P38" s="1"/>
      <c r="Q38" s="1"/>
      <c r="R38" s="1"/>
      <c r="S38" s="1"/>
      <c r="T38" s="1"/>
    </row>
    <row r="39" spans="2:20" ht="15" customHeight="1" hidden="1">
      <c r="B39" s="810"/>
      <c r="C39" s="810"/>
      <c r="D39" s="810"/>
      <c r="E39" s="810"/>
      <c r="F39" s="810"/>
      <c r="G39" s="810"/>
      <c r="H39" s="810"/>
      <c r="I39" s="810"/>
      <c r="L39" s="1"/>
      <c r="M39" s="1"/>
      <c r="N39" s="1"/>
      <c r="O39" s="1"/>
      <c r="P39" s="1"/>
      <c r="Q39" s="1"/>
      <c r="R39" s="1"/>
      <c r="S39" s="1"/>
      <c r="T39" s="1"/>
    </row>
    <row r="40" spans="2:20" ht="15" customHeight="1" hidden="1">
      <c r="B40" s="810"/>
      <c r="C40" s="810"/>
      <c r="D40" s="810"/>
      <c r="E40" s="810"/>
      <c r="F40" s="810"/>
      <c r="G40" s="810"/>
      <c r="H40" s="810"/>
      <c r="I40" s="810"/>
      <c r="L40" s="1"/>
      <c r="M40" s="1"/>
      <c r="N40" s="1"/>
      <c r="O40" s="1"/>
      <c r="P40" s="1"/>
      <c r="Q40" s="1"/>
      <c r="R40" s="1"/>
      <c r="S40" s="1"/>
      <c r="T40" s="1"/>
    </row>
    <row r="41" spans="1:9" ht="45" customHeight="1" hidden="1">
      <c r="A41" s="316" t="s">
        <v>62</v>
      </c>
      <c r="B41" s="800" t="s">
        <v>186</v>
      </c>
      <c r="C41" s="800"/>
      <c r="D41" s="800"/>
      <c r="E41" s="800"/>
      <c r="F41" s="800"/>
      <c r="G41" s="800"/>
      <c r="H41" s="800"/>
      <c r="I41" s="800"/>
    </row>
    <row r="42" ht="15" customHeight="1" hidden="1"/>
    <row r="43" spans="1:15" ht="61.5" customHeight="1" hidden="1">
      <c r="A43" s="316" t="s">
        <v>63</v>
      </c>
      <c r="B43" s="801" t="s">
        <v>187</v>
      </c>
      <c r="C43" s="801"/>
      <c r="D43" s="801"/>
      <c r="E43" s="801"/>
      <c r="F43" s="801"/>
      <c r="G43" s="801"/>
      <c r="H43" s="801"/>
      <c r="I43" s="801"/>
      <c r="J43" s="352"/>
      <c r="L43" s="482"/>
      <c r="M43" s="482"/>
      <c r="N43" s="483"/>
      <c r="O43" s="483"/>
    </row>
    <row r="44" spans="2:10" ht="15" customHeight="1" hidden="1">
      <c r="B44" s="352"/>
      <c r="C44" s="352"/>
      <c r="D44" s="352"/>
      <c r="E44" s="352"/>
      <c r="F44" s="352"/>
      <c r="G44" s="352"/>
      <c r="H44" s="352"/>
      <c r="I44" s="352"/>
      <c r="J44" s="352"/>
    </row>
    <row r="45" spans="1:10" ht="45" customHeight="1" hidden="1">
      <c r="A45" s="316" t="s">
        <v>64</v>
      </c>
      <c r="B45" s="796" t="s">
        <v>188</v>
      </c>
      <c r="C45" s="796"/>
      <c r="D45" s="796"/>
      <c r="E45" s="796"/>
      <c r="F45" s="796"/>
      <c r="G45" s="796"/>
      <c r="H45" s="796"/>
      <c r="I45" s="796"/>
      <c r="J45" s="352"/>
    </row>
    <row r="46" spans="2:10" ht="15" customHeight="1" hidden="1">
      <c r="B46" s="352"/>
      <c r="C46" s="352"/>
      <c r="D46" s="352"/>
      <c r="E46" s="352"/>
      <c r="F46" s="352"/>
      <c r="G46" s="352"/>
      <c r="H46" s="352"/>
      <c r="I46" s="352"/>
      <c r="J46" s="352"/>
    </row>
    <row r="47" ht="15" customHeight="1" hidden="1"/>
    <row r="48" ht="15" customHeight="1" hidden="1"/>
    <row r="49" spans="1:9" ht="51.75" customHeight="1" hidden="1">
      <c r="A49" s="316" t="s">
        <v>62</v>
      </c>
      <c r="B49" s="802" t="s">
        <v>189</v>
      </c>
      <c r="C49" s="802"/>
      <c r="D49" s="802"/>
      <c r="E49" s="802"/>
      <c r="F49" s="802"/>
      <c r="G49" s="802"/>
      <c r="H49" s="802"/>
      <c r="I49" s="802"/>
    </row>
    <row r="50" ht="15" customHeight="1" hidden="1"/>
    <row r="51" spans="1:9" ht="54.75" customHeight="1" hidden="1">
      <c r="A51" s="316" t="s">
        <v>63</v>
      </c>
      <c r="B51" s="801" t="s">
        <v>190</v>
      </c>
      <c r="C51" s="801"/>
      <c r="D51" s="801"/>
      <c r="E51" s="801"/>
      <c r="F51" s="801"/>
      <c r="G51" s="801"/>
      <c r="H51" s="801"/>
      <c r="I51" s="801"/>
    </row>
    <row r="52" ht="15" customHeight="1" hidden="1"/>
    <row r="53" spans="1:9" ht="57.75" customHeight="1" hidden="1">
      <c r="A53" s="316" t="s">
        <v>64</v>
      </c>
      <c r="B53" s="796" t="s">
        <v>191</v>
      </c>
      <c r="C53" s="796"/>
      <c r="D53" s="796"/>
      <c r="E53" s="796"/>
      <c r="F53" s="796"/>
      <c r="G53" s="796"/>
      <c r="H53" s="796"/>
      <c r="I53" s="796"/>
    </row>
    <row r="54" ht="15" customHeight="1" hidden="1"/>
    <row r="55" spans="1:9" ht="60" customHeight="1" hidden="1">
      <c r="A55" s="316" t="s">
        <v>62</v>
      </c>
      <c r="B55" s="800" t="s">
        <v>192</v>
      </c>
      <c r="C55" s="800"/>
      <c r="D55" s="800"/>
      <c r="E55" s="800"/>
      <c r="F55" s="800"/>
      <c r="G55" s="800"/>
      <c r="H55" s="800"/>
      <c r="I55" s="800"/>
    </row>
    <row r="56" ht="15" customHeight="1" hidden="1"/>
    <row r="57" spans="1:9" ht="60" customHeight="1" hidden="1">
      <c r="A57" s="316" t="s">
        <v>63</v>
      </c>
      <c r="B57" s="799" t="s">
        <v>193</v>
      </c>
      <c r="C57" s="799"/>
      <c r="D57" s="799"/>
      <c r="E57" s="799"/>
      <c r="F57" s="799"/>
      <c r="G57" s="799"/>
      <c r="H57" s="799"/>
      <c r="I57" s="799"/>
    </row>
    <row r="58" ht="15" customHeight="1" hidden="1"/>
    <row r="59" spans="1:9" ht="60" customHeight="1" hidden="1">
      <c r="A59" s="316" t="s">
        <v>64</v>
      </c>
      <c r="B59" s="796" t="s">
        <v>194</v>
      </c>
      <c r="C59" s="796"/>
      <c r="D59" s="796"/>
      <c r="E59" s="796"/>
      <c r="F59" s="796"/>
      <c r="G59" s="796"/>
      <c r="H59" s="796"/>
      <c r="I59" s="796"/>
    </row>
    <row r="60" ht="15" customHeight="1" hidden="1"/>
    <row r="61" spans="1:9" ht="75" customHeight="1" hidden="1">
      <c r="A61" s="316" t="s">
        <v>62</v>
      </c>
      <c r="B61" s="800" t="s">
        <v>195</v>
      </c>
      <c r="C61" s="800"/>
      <c r="D61" s="800"/>
      <c r="E61" s="800"/>
      <c r="F61" s="800"/>
      <c r="G61" s="800"/>
      <c r="H61" s="800"/>
      <c r="I61" s="800"/>
    </row>
    <row r="62" ht="15" customHeight="1" hidden="1"/>
    <row r="63" spans="1:9" ht="75" customHeight="1" hidden="1">
      <c r="A63" s="316" t="s">
        <v>63</v>
      </c>
      <c r="B63" s="801" t="s">
        <v>196</v>
      </c>
      <c r="C63" s="801"/>
      <c r="D63" s="801"/>
      <c r="E63" s="801"/>
      <c r="F63" s="801"/>
      <c r="G63" s="801"/>
      <c r="H63" s="801"/>
      <c r="I63" s="801"/>
    </row>
    <row r="64" ht="15" customHeight="1" hidden="1"/>
    <row r="65" spans="1:9" ht="75" customHeight="1" hidden="1">
      <c r="A65" s="316" t="s">
        <v>64</v>
      </c>
      <c r="B65" s="796" t="s">
        <v>197</v>
      </c>
      <c r="C65" s="796"/>
      <c r="D65" s="796"/>
      <c r="E65" s="796"/>
      <c r="F65" s="796"/>
      <c r="G65" s="796"/>
      <c r="H65" s="796"/>
      <c r="I65" s="796"/>
    </row>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sheetData>
  <sheetProtection password="EF77" sheet="1" objects="1" scenarios="1"/>
  <mergeCells count="21">
    <mergeCell ref="B41:I41"/>
    <mergeCell ref="B43:I43"/>
    <mergeCell ref="B45:I45"/>
    <mergeCell ref="B22:J22"/>
    <mergeCell ref="B30:I32"/>
    <mergeCell ref="B34:I36"/>
    <mergeCell ref="B38:I40"/>
    <mergeCell ref="B5:J7"/>
    <mergeCell ref="B16:J16"/>
    <mergeCell ref="B18:J18"/>
    <mergeCell ref="B20:J20"/>
    <mergeCell ref="B65:I65"/>
    <mergeCell ref="N6:O6"/>
    <mergeCell ref="B57:I57"/>
    <mergeCell ref="B59:I59"/>
    <mergeCell ref="B61:I61"/>
    <mergeCell ref="B63:I63"/>
    <mergeCell ref="B49:I49"/>
    <mergeCell ref="B51:I51"/>
    <mergeCell ref="B53:I53"/>
    <mergeCell ref="B55:I55"/>
  </mergeCells>
  <printOptions horizontalCentered="1" verticalCentered="1"/>
  <pageMargins left="0.3937007874015748" right="0.3937007874015748" top="0.984251968503937" bottom="0.984251968503937" header="0.5118110236220472" footer="0.5118110236220472"/>
  <pageSetup blackAndWhite="1" horizontalDpi="300" verticalDpi="300" orientation="landscape" paperSize="9" scale="85" r:id="rId1"/>
  <headerFooter alignWithMargins="0">
    <oddFooter>&amp;L&amp;F / &amp;A</oddFooter>
  </headerFooter>
  <ignoredErrors>
    <ignoredError sqref="K16:O22" numberStoredAsText="1"/>
  </ignoredErrors>
</worksheet>
</file>

<file path=xl/worksheets/sheet8.xml><?xml version="1.0" encoding="utf-8"?>
<worksheet xmlns="http://schemas.openxmlformats.org/spreadsheetml/2006/main" xmlns:r="http://schemas.openxmlformats.org/officeDocument/2006/relationships">
  <sheetPr codeName="Tabelle13"/>
  <dimension ref="A1:H48"/>
  <sheetViews>
    <sheetView showGridLines="0" showRowColHeaders="0" zoomScale="90" zoomScaleNormal="90" workbookViewId="0" topLeftCell="A1">
      <selection activeCell="G8" sqref="G8"/>
    </sheetView>
  </sheetViews>
  <sheetFormatPr defaultColWidth="11.421875" defaultRowHeight="15" customHeight="1"/>
  <cols>
    <col min="1" max="1" width="2.7109375" style="4" customWidth="1"/>
    <col min="2" max="2" width="22.7109375" style="4" customWidth="1"/>
    <col min="3" max="3" width="26.7109375" style="4" customWidth="1"/>
    <col min="4" max="5" width="40.7109375" style="4" customWidth="1"/>
    <col min="6" max="7" width="10.7109375" style="4" customWidth="1"/>
    <col min="8" max="8" width="2.7109375" style="4" customWidth="1"/>
    <col min="9" max="9" width="5.7109375" style="4" customWidth="1"/>
    <col min="10" max="10" width="4.7109375" style="4" customWidth="1"/>
    <col min="11" max="23" width="10.421875" style="4" customWidth="1"/>
    <col min="24" max="27" width="11.421875" style="4" customWidth="1"/>
    <col min="28" max="28" width="9.7109375" style="4" customWidth="1"/>
    <col min="29" max="16384" width="11.421875" style="4" customWidth="1"/>
  </cols>
  <sheetData>
    <row r="1" spans="2:7" ht="15" customHeight="1">
      <c r="B1" s="315" t="str">
        <f>Info!B7</f>
        <v>www.guven-kutay.ch</v>
      </c>
      <c r="G1" s="93" t="str">
        <f>Info!M7</f>
        <v>Copyright : M. G. Kutay , Ver 13.01</v>
      </c>
    </row>
    <row r="2" spans="2:7" ht="6.75" customHeight="1">
      <c r="B2" s="315"/>
      <c r="G2" s="93"/>
    </row>
    <row r="3" spans="1:4" ht="15" customHeight="1">
      <c r="A3" s="240"/>
      <c r="B3" s="93" t="str">
        <f>1!B2</f>
        <v>Proje :</v>
      </c>
      <c r="C3" s="5" t="str">
        <f>1!C2:H2</f>
        <v>Makina</v>
      </c>
      <c r="D3" s="5"/>
    </row>
    <row r="4" spans="1:4" ht="6.75" customHeight="1">
      <c r="A4" s="240"/>
      <c r="B4" s="93"/>
      <c r="C4" s="1"/>
      <c r="D4" s="1"/>
    </row>
    <row r="5" spans="2:7" ht="15" customHeight="1">
      <c r="B5" s="486" t="str">
        <f>IF(Info!H8&gt;2.5,"6. Required safety factors ",IF(Info!H8&gt;1.5,"6. Erforderliche Sicherheitsfaktoren","6. Gerekli emniyet faktörleri "))</f>
        <v>6. Gerekli emniyet faktörleri </v>
      </c>
      <c r="E5" s="354" t="str">
        <f>1!C9</f>
        <v>Kullanıldığı yer</v>
      </c>
      <c r="F5" s="811" t="str">
        <f>1!E9</f>
        <v>Genel</v>
      </c>
      <c r="G5" s="812"/>
    </row>
    <row r="6" spans="2:7" ht="15" customHeight="1">
      <c r="B6" s="817" t="str">
        <f>IF(Info!H8&gt;2.5,"If the safety factors are confessed SFerf and SHerf, you enter them. Otherwise, you use the following table values.",IF(Info!H8&gt;1.5,"Wenn die Sicherheitsfaktoren SFerf und SHerf bekannt sind, geben Sie sie ein, sonst benützen Sie die folgenden Tabellenwerte.","Gerekli emniyet faktörleri SFger ve SHger biliniyorsa büyüklüğünü mavi kareye yazınız. Yoksa tablo yardımıyla faktörü bulunuz."))</f>
        <v>Gerekli emniyet faktörleri SFger ve SHger biliniyorsa büyüklüğünü mavi kareye yazınız. Yoksa tablo yardımıyla faktörü bulunuz.</v>
      </c>
      <c r="C6" s="817"/>
      <c r="D6" s="817"/>
      <c r="E6" s="633" t="str">
        <f>B15</f>
        <v>2. Normal şartlı, normal işletme</v>
      </c>
      <c r="F6" s="7" t="str">
        <f>IF(Info!H8&gt;2.5,"SFreg",IF(Info!H8&gt;1.5,"SFerf","SFger"))</f>
        <v>SFger</v>
      </c>
      <c r="G6" s="355">
        <v>1.4</v>
      </c>
    </row>
    <row r="7" spans="1:7" ht="15" customHeight="1">
      <c r="A7" s="240"/>
      <c r="B7" s="817"/>
      <c r="C7" s="817"/>
      <c r="D7" s="817"/>
      <c r="E7" s="632" t="str">
        <f>D18</f>
        <v>b)  Devamlı mukavemet;</v>
      </c>
      <c r="F7" s="13" t="str">
        <f>IF(Info!H8&gt;2.5,"SHreg",IF(Info!H8&gt;1.5,"SHerf","SHger"))</f>
        <v>SHger</v>
      </c>
      <c r="G7" s="356">
        <v>0.8</v>
      </c>
    </row>
    <row r="8" spans="2:7" ht="15" customHeight="1">
      <c r="B8" s="6" t="str">
        <f>IF(Info!H8&gt;2.5,"Effort criteria",IF(Info!H8&gt;1.5,"Einsatzkriterien","İşletme vasıfları"))</f>
        <v>İşletme vasıfları</v>
      </c>
      <c r="D8" s="6" t="str">
        <f>IF(Info!H8&gt;2.5,"Damage are limited through:",IF(Info!H8&gt;1.5,"Schaden sind begrenzt durch :","Hasarın sınırlanması :"))</f>
        <v>Hasarın sınırlanması :</v>
      </c>
      <c r="F8" s="232" t="str">
        <f>F6</f>
        <v>SFger</v>
      </c>
      <c r="G8" s="232" t="str">
        <f>F7</f>
        <v>SHger</v>
      </c>
    </row>
    <row r="9" spans="2:7" ht="15" customHeight="1">
      <c r="B9" s="357" t="str">
        <f>IF(Info!H8&gt;2.5,"1. Smaller reliability",IF(Info!H8&gt;1.5,"1. Geringere zuverlässigkeit.","1. Az şartlı, hafif işletme."))</f>
        <v>1. Az şartlı, hafif işletme.</v>
      </c>
      <c r="C9" s="9"/>
      <c r="D9" s="813" t="str">
        <f>IF(Info!H8&gt;2.5,"a)  In general fatique strength calculation",IF(Info!H8&gt;1.5,"a)  Im allgemeinen Zeitfestigkeit-Berechnung;","a)  Çoğunlukla zamana bağlı mukavemet hesabı; 
"))</f>
        <v>a)  Çoğunlukla zamana bağlı mukavemet hesabı; 
</v>
      </c>
      <c r="E9" s="814"/>
      <c r="F9" s="358"/>
      <c r="G9" s="359"/>
    </row>
    <row r="10" spans="2:7" ht="13.5" customHeight="1">
      <c r="B10" s="360" t="str">
        <f>IF(Info!H8&gt;2.5,"Tempered or case-hardened gears. Avoid nitriding",IF(Info!H8&gt;1.5,"Vergütete oder einsatzgehärtete Zahnräder.","Değerler islah ve semente edilmiş malzemeler için"))</f>
        <v>Değerler islah ve semente edilmiş malzemeler için</v>
      </c>
      <c r="C10" s="236"/>
      <c r="D10" s="815" t="str">
        <f>IF(Info!H8&gt;2.5,"     Calculation with max values",IF(Info!H8&gt;1.5,"     Berechnung mit maximalen Werten, ","     a) maksimum değerlerle yapılan hesaplamalar; "))</f>
        <v>     a) maksimum değerlerle yapılan hesaplamalar; </v>
      </c>
      <c r="E10" s="816"/>
      <c r="F10" s="361" t="s">
        <v>198</v>
      </c>
      <c r="G10" s="362" t="s">
        <v>199</v>
      </c>
    </row>
    <row r="11" spans="2:7" ht="13.5" customHeight="1">
      <c r="B11" s="360" t="str">
        <f>IF(Info!H8&gt;2.5,"nitrogen hardening avoid",IF(Info!H8&gt;1.5,"Nitriren vermeiden. ","geçerlidir. Nitrasyondan kaçınılmalıdır."))</f>
        <v>geçerlidir. Nitrasyondan kaçınılmalıdır.</v>
      </c>
      <c r="C11" s="236"/>
      <c r="D11" s="815" t="str">
        <f>IF(Info!H8&gt;2.5,"        e.g. Max operating momentum = momentum x operating ratio",IF(Info!H8&gt;1.5,"         z.B. Max. Betriebsmoment = Moment x Betriebsfaktor","         Örneğin; Mmax =Moment x İşletme faktörü,"))</f>
        <v>         Örneğin; Mmax =Moment x İşletme faktörü,</v>
      </c>
      <c r="E11" s="816"/>
      <c r="F11" s="361"/>
      <c r="G11" s="362"/>
    </row>
    <row r="12" spans="2:7" ht="15" customHeight="1">
      <c r="B12" s="363" t="str">
        <f>IF(Info!H8&gt;2.5,"shears, presses, converters, lifting gears.",IF(Info!H8&gt;1.5,"z.B.Scheren, Pressen, Konverter, Hubwerke.","Örneğin: Makaslar, Presler, Ceraskallar, ..."))</f>
        <v>Örneğin: Makaslar, Presler, Ceraskallar, ...</v>
      </c>
      <c r="C12" s="364"/>
      <c r="D12" s="818" t="str">
        <f>IF(Info!H8&gt;2.5,"        still, shock-free drive system, electrical engines, hoist ",IF(Info!H8&gt;1.5,"        ruhig, stossfreie Antriebe, elekträsche Motoren, Elektroflaschenzüge, u.s.w.","
        sakin, darbesiz tahrikler; 
elektrik motoru, ceraskal, v.b. gibi.
"))</f>
        <v>
        sakin, darbesiz tahrikler; 
elektrik motoru, ceraskal, v.b. gibi.
</v>
      </c>
      <c r="E12" s="819"/>
      <c r="F12" s="361"/>
      <c r="G12" s="362"/>
    </row>
    <row r="13" spans="2:7" ht="15" customHeight="1">
      <c r="B13" s="365"/>
      <c r="C13" s="236"/>
      <c r="D13" s="820" t="str">
        <f>IF(Info!H8&gt;2.5,"a)  Static firmness",IF(Info!H8&gt;1.5,"a)  Statischerfestigkeit,","A)  Statik mukavemet;"))</f>
        <v>A)  Statik mukavemet;</v>
      </c>
      <c r="E13" s="821"/>
      <c r="F13" s="366"/>
      <c r="G13" s="367"/>
    </row>
    <row r="14" spans="2:7" ht="15" customHeight="1">
      <c r="B14" s="365"/>
      <c r="C14" s="236"/>
      <c r="D14" s="822" t="str">
        <f>IF(Info!H8&gt;2.5,"     Plastic deformation, driving joins",IF(Info!H8&gt;1.5,"     Plastische Verformung, Anfahrstösse, ...","     Plastik değişme veya malzemede çatlama tehlikesi varsa,"))</f>
        <v>     Plastik değişme veya malzemede çatlama tehlikesi varsa,</v>
      </c>
      <c r="E14" s="823"/>
      <c r="F14" s="361"/>
      <c r="G14" s="362"/>
    </row>
    <row r="15" spans="2:7" ht="15" customHeight="1">
      <c r="B15" s="368" t="str">
        <f>IF(Info!H8&gt;2.5,"2. Normal case, normally operation",IF(Info!H8&gt;1.5,"2. Normalfall, normal Betrieb","2. Normal şartlı, normal işletme"))</f>
        <v>2. Normal şartlı, normal işletme</v>
      </c>
      <c r="C15" s="236"/>
      <c r="D15" s="822" t="str">
        <f>IF(Info!H8&gt;2.5,"        Calculation with higher values",IF(Info!H8&gt;1.5,"        Berechnung mit höheren Werte, ","        Hesaplar katsayılı değerlerle yapılır,"))</f>
        <v>        Hesaplar katsayılı değerlerle yapılır,</v>
      </c>
      <c r="E15" s="823"/>
      <c r="F15" s="361" t="s">
        <v>200</v>
      </c>
      <c r="G15" s="362" t="s">
        <v>169</v>
      </c>
    </row>
    <row r="16" spans="2:7" ht="15" customHeight="1">
      <c r="B16" s="365"/>
      <c r="C16" s="236"/>
      <c r="D16" s="822" t="str">
        <f>IF(Info!H8&gt;2.5,"              e.g. Alternation moment to 5x operating rated moment",IF(Info!H8&gt;1.5,"              z.B. Wechselmomente bis 5 x Betriebsnennmoment","              Örneğin; Mmax = Moment x İşletme faktörü"))</f>
        <v>              Örneğin; Mmax = Moment x İşletme faktörü</v>
      </c>
      <c r="E16" s="823"/>
      <c r="F16" s="361"/>
      <c r="G16" s="362"/>
    </row>
    <row r="17" spans="2:7" ht="15" customHeight="1">
      <c r="B17" s="365" t="str">
        <f>IF(Info!H8&gt;2.5,"Mostly industry gear, some hoist gears",IF(Info!H8&gt;1.5,"Meist Industriegetriebe und manchen Hebezeuggetrieben","Endüstri, Turbo ve Tesis redüktörleri."))</f>
        <v>Endüstri, Turbo ve Tesis redüktörleri.</v>
      </c>
      <c r="C17" s="236"/>
      <c r="D17" s="824" t="str">
        <f>IF(Info!H8&gt;2.5,"              Synchronous motor drive ",IF(Info!H8&gt;1.5,"              bei Antrieb Synchronmotor","              Senkron motorlu tahrik"))</f>
        <v>              Senkron motorlu tahrik</v>
      </c>
      <c r="E17" s="825"/>
      <c r="F17" s="361"/>
      <c r="G17" s="362"/>
    </row>
    <row r="18" spans="2:7" ht="15" customHeight="1">
      <c r="B18" s="365"/>
      <c r="C18" s="236"/>
      <c r="D18" s="820" t="str">
        <f>IF(Info!H8&gt;2.5,"b)  Endurance",IF(Info!H8&gt;1.5,"b)  Dauerfestigkeit;","b)  Devamlı mukavemet;"))</f>
        <v>b)  Devamlı mukavemet;</v>
      </c>
      <c r="E18" s="821"/>
      <c r="F18" s="366"/>
      <c r="G18" s="367"/>
    </row>
    <row r="19" spans="2:7" ht="15" customHeight="1">
      <c r="B19" s="829" t="str">
        <f>IF(Info!H8&gt;2.5,"for example (e.g.); electric motors, hoist gears and Tools machine.",IF(Info!H8&gt;1.5,"z.B.: Werkzeugmaschinen, Hebezeug-Getriebe und alle Triebwerke mit elektro Motoren.","Örneğin: Takım tezgahları ve normal kaldırma araçları redüktörleri. Bütün elektrik motorlu tahrikler.
"))</f>
        <v>Örneğin: Takım tezgahları ve normal kaldırma araçları redüktörleri. Bütün elektrik motorlu tahrikler.
</v>
      </c>
      <c r="C19" s="830"/>
      <c r="D19" s="822" t="str">
        <f>D10</f>
        <v>     a) maksimum değerlerle yapılan hesaplamalar; </v>
      </c>
      <c r="E19" s="823"/>
      <c r="F19" s="361"/>
      <c r="G19" s="362"/>
    </row>
    <row r="20" spans="2:7" ht="15" customHeight="1">
      <c r="B20" s="829"/>
      <c r="C20" s="830"/>
      <c r="D20" s="831" t="str">
        <f>D15</f>
        <v>        Hesaplar katsayılı değerlerle yapılır,</v>
      </c>
      <c r="E20" s="832"/>
      <c r="F20" s="361" t="s">
        <v>201</v>
      </c>
      <c r="G20" s="362" t="s">
        <v>202</v>
      </c>
    </row>
    <row r="21" spans="2:7" ht="15" customHeight="1">
      <c r="B21" s="369"/>
      <c r="C21" s="236"/>
      <c r="D21" s="822" t="str">
        <f>D16</f>
        <v>              Örneğin; Mmax = Moment x İşletme faktörü</v>
      </c>
      <c r="E21" s="823"/>
      <c r="F21" s="361"/>
      <c r="G21" s="362"/>
    </row>
    <row r="22" spans="2:7" ht="15" customHeight="1">
      <c r="B22" s="365"/>
      <c r="C22" s="236"/>
      <c r="D22" s="370" t="str">
        <f>D17</f>
        <v>              Senkron motorlu tahrik</v>
      </c>
      <c r="E22" s="371"/>
      <c r="F22" s="361"/>
      <c r="G22" s="362"/>
    </row>
    <row r="23" spans="2:7" ht="15" customHeight="1">
      <c r="B23" s="365"/>
      <c r="C23" s="236"/>
      <c r="D23" s="820" t="str">
        <f>IF(Info!H8&gt;2.5,"c) Calculation to load spectrum",IF(Info!H8&gt;1.5,"c)  Berechnung nach Lastkollektiv","c)  Hesaplar kollektif yüklemeye göre;"))</f>
        <v>c)  Hesaplar kollektif yüklemeye göre;</v>
      </c>
      <c r="E23" s="821"/>
      <c r="F23" s="366"/>
      <c r="G23" s="367"/>
    </row>
    <row r="24" spans="2:7" ht="15" customHeight="1">
      <c r="B24" s="365"/>
      <c r="C24" s="236"/>
      <c r="D24" s="372" t="str">
        <f>D15</f>
        <v>        Hesaplar katsayılı değerlerle yapılır,</v>
      </c>
      <c r="E24" s="236"/>
      <c r="F24" s="361" t="s">
        <v>203</v>
      </c>
      <c r="G24" s="362" t="s">
        <v>204</v>
      </c>
    </row>
    <row r="25" spans="2:7" ht="15" customHeight="1">
      <c r="B25" s="365"/>
      <c r="C25" s="236"/>
      <c r="D25" s="372" t="str">
        <f>D16</f>
        <v>              Örneğin; Mmax = Moment x İşletme faktörü</v>
      </c>
      <c r="E25" s="236"/>
      <c r="F25" s="361"/>
      <c r="G25" s="362"/>
    </row>
    <row r="26" spans="2:7" ht="15" customHeight="1">
      <c r="B26" s="373"/>
      <c r="C26" s="364"/>
      <c r="D26" s="370" t="str">
        <f>D22</f>
        <v>              Senkron motorlu tahrik</v>
      </c>
      <c r="E26" s="371"/>
      <c r="F26" s="361"/>
      <c r="G26" s="362"/>
    </row>
    <row r="27" spans="2:7" ht="15" customHeight="1">
      <c r="B27" s="365"/>
      <c r="C27" s="236"/>
      <c r="D27" s="374" t="str">
        <f>D13</f>
        <v>A)  Statik mukavemet;</v>
      </c>
      <c r="E27" s="236"/>
      <c r="F27" s="366"/>
      <c r="G27" s="367"/>
    </row>
    <row r="28" spans="2:7" ht="15" customHeight="1">
      <c r="B28" s="368" t="str">
        <f>IF(Info!H8&gt;2.5,"3. High reliability, critical cases",IF(Info!H8&gt;1.5,"3. Hohe Zuverlässigkeit, kritische Fälle","3. Ağır şartlı, özel işletme"))</f>
        <v>3. Ağır şartlı, özel işletme</v>
      </c>
      <c r="C28" s="236"/>
      <c r="D28" s="372" t="str">
        <f>IF(Info!H8&gt;2.5,"     How above normal case",IF(Info!H8&gt;1.5,"     Wie oben Normalfall","     Yukarıda olduğu gibi, normal durum."))</f>
        <v>     Yukarıda olduğu gibi, normal durum.</v>
      </c>
      <c r="E28" s="236"/>
      <c r="F28" s="361" t="s">
        <v>205</v>
      </c>
      <c r="G28" s="362" t="s">
        <v>206</v>
      </c>
    </row>
    <row r="29" spans="2:7" ht="15" customHeight="1">
      <c r="B29" s="365"/>
      <c r="C29" s="236"/>
      <c r="D29" s="372"/>
      <c r="E29" s="236"/>
      <c r="F29" s="361"/>
      <c r="G29" s="362"/>
    </row>
    <row r="30" spans="2:7" ht="15" customHeight="1">
      <c r="B30" s="826" t="str">
        <f>IF(Info!H8&gt;2.5,"Very high load cycle number, high damage risk, high follow-up costs, no spare part, no overload protection",IF(Info!H8&gt;1.5,"Sehr hohe Lastwechselzahlen, hohes Schadenrisiko, hohe Folgekosten, keine Ersatzteile, keine Ueberlastsicherung","Kritik işletmeler. (Çok yüksek sayıda yükleme, çok yüksek zarar rizikolu, zararın etkisi çok büyük ve yedekparçası zor temin edilen veya zor ulaştırılan, fazla yük emniyeti olmayan işletmeler."))</f>
        <v>Kritik işletmeler. (Çok yüksek sayıda yükleme, çok yüksek zarar rizikolu, zararın etkisi çok büyük ve yedekparçası zor temin edilen veya zor ulaştırılan, fazla yük emniyeti olmayan işletmeler.</v>
      </c>
      <c r="C30" s="827"/>
      <c r="D30" s="375" t="str">
        <f>D18</f>
        <v>b)  Devamlı mukavemet;</v>
      </c>
      <c r="E30" s="376"/>
      <c r="F30" s="366"/>
      <c r="G30" s="367"/>
    </row>
    <row r="31" spans="2:7" ht="15" customHeight="1">
      <c r="B31" s="826"/>
      <c r="C31" s="827"/>
      <c r="D31" s="372" t="str">
        <f>D28</f>
        <v>     Yukarıda olduğu gibi, normal durum.</v>
      </c>
      <c r="E31" s="377"/>
      <c r="F31" s="361" t="s">
        <v>207</v>
      </c>
      <c r="G31" s="362" t="s">
        <v>208</v>
      </c>
    </row>
    <row r="32" spans="2:7" ht="20.25" customHeight="1">
      <c r="B32" s="826"/>
      <c r="C32" s="827"/>
      <c r="D32" s="370"/>
      <c r="E32" s="371"/>
      <c r="F32" s="361"/>
      <c r="G32" s="362"/>
    </row>
    <row r="33" spans="2:7" ht="15" customHeight="1">
      <c r="B33" s="828" t="str">
        <f>IF(Info!H8&gt;2.5,"Gross-turbo gear, ship gear, airplane gear, some hoist gears.",IF(Info!H8&gt;1.5,"z.B. : Gross-Turbogetriebe, Schiffsgetriebe, Flugzeuggetriebe, manchen Hebezeuggetrieben.","Örneğin: Büyük Turbo, Gemi, Uçak ve zor şartlarda çalışan Kaldırma araçları redüktörleri."))</f>
        <v>Örneğin: Büyük Turbo, Gemi, Uçak ve zor şartlarda çalışan Kaldırma araçları redüktörleri.</v>
      </c>
      <c r="C33" s="816"/>
      <c r="D33" s="374" t="str">
        <f>D23</f>
        <v>c)  Hesaplar kollektif yüklemeye göre;</v>
      </c>
      <c r="E33" s="236"/>
      <c r="F33" s="366"/>
      <c r="G33" s="367"/>
    </row>
    <row r="34" spans="2:7" ht="15" customHeight="1">
      <c r="B34" s="828"/>
      <c r="C34" s="816"/>
      <c r="D34" s="372" t="str">
        <f>D31</f>
        <v>     Yukarıda olduğu gibi, normal durum.</v>
      </c>
      <c r="E34" s="236"/>
      <c r="F34" s="361" t="s">
        <v>209</v>
      </c>
      <c r="G34" s="362" t="s">
        <v>203</v>
      </c>
    </row>
    <row r="35" spans="2:7" ht="15" customHeight="1">
      <c r="B35" s="378"/>
      <c r="C35" s="379"/>
      <c r="D35" s="380"/>
      <c r="E35" s="379"/>
      <c r="F35" s="380"/>
      <c r="G35" s="381"/>
    </row>
    <row r="39" spans="1:8" ht="15" customHeight="1">
      <c r="A39" s="1"/>
      <c r="B39" s="1"/>
      <c r="C39" s="1"/>
      <c r="D39" s="1"/>
      <c r="E39" s="1"/>
      <c r="F39" s="1"/>
      <c r="G39" s="1"/>
      <c r="H39" s="1"/>
    </row>
    <row r="40" spans="1:8" ht="15" customHeight="1">
      <c r="A40" s="1"/>
      <c r="B40" s="1"/>
      <c r="C40" s="1"/>
      <c r="D40" s="1"/>
      <c r="E40" s="1"/>
      <c r="F40" s="1"/>
      <c r="G40" s="1"/>
      <c r="H40" s="1"/>
    </row>
    <row r="41" spans="1:8" ht="15" customHeight="1">
      <c r="A41" s="1"/>
      <c r="B41" s="1"/>
      <c r="C41" s="1"/>
      <c r="D41" s="1"/>
      <c r="E41" s="1"/>
      <c r="F41" s="1"/>
      <c r="G41" s="1"/>
      <c r="H41" s="1"/>
    </row>
    <row r="42" spans="1:8" ht="15" customHeight="1">
      <c r="A42" s="1"/>
      <c r="B42" s="1"/>
      <c r="C42" s="1"/>
      <c r="D42" s="1"/>
      <c r="E42" s="1"/>
      <c r="F42" s="1"/>
      <c r="G42" s="1"/>
      <c r="H42" s="1"/>
    </row>
    <row r="43" spans="1:8" ht="15" customHeight="1">
      <c r="A43" s="1"/>
      <c r="B43" s="1"/>
      <c r="C43" s="1"/>
      <c r="D43" s="1"/>
      <c r="E43" s="1"/>
      <c r="F43" s="1"/>
      <c r="G43" s="1"/>
      <c r="H43" s="1"/>
    </row>
    <row r="44" spans="1:8" ht="15" customHeight="1">
      <c r="A44" s="1"/>
      <c r="B44" s="1"/>
      <c r="C44" s="1"/>
      <c r="D44" s="1"/>
      <c r="E44" s="1"/>
      <c r="F44" s="1"/>
      <c r="G44" s="1"/>
      <c r="H44" s="1"/>
    </row>
    <row r="45" spans="1:8" ht="15" customHeight="1">
      <c r="A45" s="1"/>
      <c r="B45" s="1"/>
      <c r="C45" s="1"/>
      <c r="D45" s="1"/>
      <c r="E45" s="1"/>
      <c r="F45" s="1"/>
      <c r="G45" s="1"/>
      <c r="H45" s="1"/>
    </row>
    <row r="46" spans="1:8" ht="15" customHeight="1">
      <c r="A46" s="1"/>
      <c r="B46" s="1"/>
      <c r="C46" s="1"/>
      <c r="D46" s="1"/>
      <c r="E46" s="1"/>
      <c r="F46" s="1"/>
      <c r="G46" s="1"/>
      <c r="H46" s="1"/>
    </row>
    <row r="47" spans="1:8" ht="15" customHeight="1">
      <c r="A47" s="1"/>
      <c r="B47" s="1"/>
      <c r="C47" s="1"/>
      <c r="D47" s="1"/>
      <c r="E47" s="1"/>
      <c r="F47" s="1"/>
      <c r="G47" s="1"/>
      <c r="H47" s="1"/>
    </row>
    <row r="48" spans="1:8" ht="15" customHeight="1">
      <c r="A48" s="1"/>
      <c r="B48" s="1"/>
      <c r="C48" s="1"/>
      <c r="D48" s="1"/>
      <c r="E48" s="1"/>
      <c r="F48" s="1"/>
      <c r="G48" s="1"/>
      <c r="H48" s="1"/>
    </row>
  </sheetData>
  <sheetProtection password="EF77" sheet="1" objects="1" scenarios="1"/>
  <mergeCells count="19">
    <mergeCell ref="D23:E23"/>
    <mergeCell ref="B30:C32"/>
    <mergeCell ref="B33:C34"/>
    <mergeCell ref="B19:C20"/>
    <mergeCell ref="D19:E19"/>
    <mergeCell ref="D20:E20"/>
    <mergeCell ref="D21:E21"/>
    <mergeCell ref="D15:E15"/>
    <mergeCell ref="D16:E16"/>
    <mergeCell ref="D17:E17"/>
    <mergeCell ref="D18:E18"/>
    <mergeCell ref="D11:E11"/>
    <mergeCell ref="D12:E12"/>
    <mergeCell ref="D13:E13"/>
    <mergeCell ref="D14:E14"/>
    <mergeCell ref="F5:G5"/>
    <mergeCell ref="D9:E9"/>
    <mergeCell ref="D10:E10"/>
    <mergeCell ref="B6:D7"/>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5" r:id="rId1"/>
  <headerFooter alignWithMargins="0">
    <oddFooter>&amp;L&amp;F / &amp;A</oddFooter>
  </headerFooter>
  <ignoredErrors>
    <ignoredError sqref="E6:E7" unlockedFormula="1"/>
    <ignoredError sqref="F15:G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Guven</cp:lastModifiedBy>
  <cp:lastPrinted>2010-10-04T15:09:09Z</cp:lastPrinted>
  <dcterms:created xsi:type="dcterms:W3CDTF">1998-11-18T13:22:42Z</dcterms:created>
  <dcterms:modified xsi:type="dcterms:W3CDTF">2014-04-04T07:53:50Z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