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4" activeTab="0"/>
  </bookViews>
  <sheets>
    <sheet name="Info"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s>
  <definedNames/>
  <calcPr fullCalcOnLoad="1"/>
</workbook>
</file>

<file path=xl/sharedStrings.xml><?xml version="1.0" encoding="utf-8"?>
<sst xmlns="http://schemas.openxmlformats.org/spreadsheetml/2006/main" count="912" uniqueCount="437">
  <si>
    <t>www.guven-kutay.ch</t>
  </si>
  <si>
    <t>e-mail :  info@guven-kutay.ch</t>
  </si>
  <si>
    <t>Copyright : M. G. Kutay , Ver 2013.01</t>
  </si>
  <si>
    <t>Türkçe için, lütfen " 1 " yaz ve "Enter" i tuşla.</t>
  </si>
  <si>
    <t>Für Deutsch, tippen Sie bitte " 2 " ein und enter.</t>
  </si>
  <si>
    <t>For English, please type " 3 " and press "enter".</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</si>
  <si>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</si>
  <si>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TR</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</si>
  <si>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</si>
  <si>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D</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</si>
  <si>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</si>
  <si>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E</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</si>
  <si>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</si>
  <si>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</si>
  <si>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</si>
  <si>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0. Programın kullanılması</t>
  </si>
  <si>
    <t>DE</t>
  </si>
  <si>
    <t>0. Benützung des Programmes</t>
  </si>
  <si>
    <t>EN</t>
  </si>
  <si>
    <t>0. Using the program</t>
  </si>
  <si>
    <t>Bu programı bilgisayarınızda kendinize göre bir yere kopyasını çıkarınız. Hesap yapacağınız zaman bilgisayardaki programı kullanınız.</t>
  </si>
  <si>
    <t>İnanılır hesapların yapılabilinmesi için konu hakkında gereken teoriyi önceden öğrenmek avantajdır.</t>
  </si>
  <si>
    <t>Um glaubwürdigen Berechnungen durchzuführen, sind die gute theoretische Kenntnisse im Vorteil.</t>
  </si>
  <si>
    <t>Kopieren Sie dieses Programm auf Ihrem Computer, wohin Sie es wollen. Verwenden Sie bei der Berechnungen das Programm, welches Sie auf Ihrem Computer haben.</t>
  </si>
  <si>
    <t>To carry out reliable calculations, good understanding of the theoretical background is necessary.</t>
  </si>
  <si>
    <t>Download this program to a convenient place on your computer, and run it as necessary (or required).</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</si>
  <si>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</si>
  <si>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Kullanacağınız sayfaya gelince, hesaplamaya başlamadan önce, bütün mavi karelerdeki değerleri siliniz. Böylece dikkatsizlik yanlışı yapma imkanını ortadan kaldırmış olursunuz.</t>
  </si>
  <si>
    <t>Wenn Sie die Berechnungsseite aufschlagen, bitte löschen Sie zuerst alle Werte in den blauen Feldern, damit keine Flüchtigkeitsfehler passieren können.</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</si>
  <si>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</si>
  <si>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If you open the calculation page, please extinguish all values in the blue fields first to avoid errors.</t>
  </si>
  <si>
    <t>Sıra ile mavi karelere yapacağınız hesaba ait değerleri dikkatlice yerleştiriniz. Hesaplamalarınız için gerekli olmayan mavi karelere değerler yerleştirmek yanlış hesap sonuçlarına sebep olabilir. Dikkatli olmak gereklidir.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</si>
  <si>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</si>
  <si>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Bitte geben Sie in den blauen Felder die Werte für die Berechnung sorgfältig ein. Wenn Sie ein blaue Feld für Ihre Berechnung nicht brauchen, geben Sie nichts ein (mögliche Fehlerquelle). Bitte passen Sie auf.</t>
  </si>
  <si>
    <t>Please enter your input values carefully in the blue fields. Unused inputs can be left blank. Please be careful.</t>
  </si>
  <si>
    <t>Eğer hesaplamalarında özel bir konstruksiyonun hesabı gerekiyorsa veya öğrenmek istediğiniz bir şey varsa, hiç çekinmeden bizimle temasa geçebilirsiniz. Bilgimizin yettiği kadar size memnuniyetle yardım ederiz.</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</si>
  <si>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</si>
  <si>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Wenn Sie bei einer speziellen Aufgabe etwas brauchen, dürfen Sie jederzeit  mit mir Kontakt aufnehmen und Ihre Probleme mitteilen. Soweit wir können,  werden wir versuchen Ihnen zu helfen.</t>
  </si>
  <si>
    <t xml:space="preserve">Das Programm berechnet aus den blauen Feldern Berechnungsgrössen. Der Konstrukteur kann jene nach Bedarf und Anforderungen diese gleich annehmen oder entsprechend ändern. </t>
  </si>
  <si>
    <t>If you need something in the case of a specific task, you may all time contact us and inform us of your problems. As far as we can, we will attempt to help you.</t>
  </si>
  <si>
    <t>The program returns calculated results to the yellow fields. The user can accept these results, or change them.</t>
  </si>
  <si>
    <t>Çoğu mavi karenin çevresinde değerlerin nereden alınması gerektiğini gösteren bilgi bulunmaktadır. Bu gösterilere uyulması hesapların doğruluğu açısından çok önemlidir.</t>
  </si>
  <si>
    <t>In der Umgebung der blauen Felder gibt es Hinweis, wo man die entsprechende Werte entnehmen kann. Es ist für die Sicherheit der Berechnungen sehr wichtig. Die Hinweise müssen befolgt werden.</t>
  </si>
  <si>
    <t>In the blue input fields, references can be found which are very important for the safety of the calculations. These references must be followed.</t>
  </si>
  <si>
    <t>Örnek 1</t>
  </si>
  <si>
    <r>
      <t xml:space="preserve"> F </t>
    </r>
    <r>
      <rPr>
        <vertAlign val="subscript"/>
        <sz val="12"/>
        <rFont val="Arial"/>
        <family val="2"/>
      </rPr>
      <t xml:space="preserve">İş max </t>
    </r>
    <r>
      <rPr>
        <sz val="12"/>
        <rFont val="Arial"/>
        <family val="2"/>
      </rPr>
      <t>=</t>
    </r>
  </si>
  <si>
    <t>kN</t>
  </si>
  <si>
    <r>
      <t>F</t>
    </r>
    <r>
      <rPr>
        <vertAlign val="subscript"/>
        <sz val="12"/>
        <rFont val="Arial"/>
        <family val="2"/>
      </rPr>
      <t>g</t>
    </r>
    <r>
      <rPr>
        <sz val="12"/>
        <rFont val="Arial"/>
        <family val="2"/>
      </rPr>
      <t xml:space="preserve"> =</t>
    </r>
  </si>
  <si>
    <t>N</t>
  </si>
  <si>
    <r>
      <t xml:space="preserve"> F </t>
    </r>
    <r>
      <rPr>
        <vertAlign val="subscript"/>
        <sz val="12"/>
        <rFont val="Arial"/>
        <family val="2"/>
      </rPr>
      <t xml:space="preserve">İş min </t>
    </r>
    <r>
      <rPr>
        <sz val="12"/>
        <rFont val="Arial"/>
        <family val="2"/>
      </rPr>
      <t>=</t>
    </r>
  </si>
  <si>
    <r>
      <t>s</t>
    </r>
    <r>
      <rPr>
        <vertAlign val="subscript"/>
        <sz val="12"/>
        <rFont val="Arial"/>
        <family val="2"/>
      </rPr>
      <t>g</t>
    </r>
    <r>
      <rPr>
        <sz val="12"/>
        <rFont val="Arial"/>
        <family val="2"/>
      </rPr>
      <t xml:space="preserve"> =</t>
    </r>
  </si>
  <si>
    <r>
      <t>N/mm</t>
    </r>
    <r>
      <rPr>
        <vertAlign val="superscript"/>
        <sz val="12"/>
        <rFont val="Arial"/>
        <family val="2"/>
      </rPr>
      <t>2</t>
    </r>
  </si>
  <si>
    <t>dinamik</t>
  </si>
  <si>
    <r>
      <t>s</t>
    </r>
    <r>
      <rPr>
        <vertAlign val="subscript"/>
        <sz val="12"/>
        <rFont val="Arial"/>
        <family val="2"/>
      </rPr>
      <t>G</t>
    </r>
    <r>
      <rPr>
        <sz val="12"/>
        <rFont val="Arial"/>
        <family val="2"/>
      </rPr>
      <t xml:space="preserve"> =</t>
    </r>
  </si>
  <si>
    <t>Tablo 10</t>
  </si>
  <si>
    <t xml:space="preserve">d = </t>
  </si>
  <si>
    <t>mm</t>
  </si>
  <si>
    <t>Tablo 1</t>
  </si>
  <si>
    <r>
      <t>F</t>
    </r>
    <r>
      <rPr>
        <vertAlign val="subscript"/>
        <sz val="12"/>
        <rFont val="Arial"/>
        <family val="2"/>
      </rPr>
      <t>Ek</t>
    </r>
    <r>
      <rPr>
        <sz val="12"/>
        <rFont val="Arial"/>
        <family val="2"/>
      </rPr>
      <t xml:space="preserve"> =</t>
    </r>
  </si>
  <si>
    <r>
      <t>L</t>
    </r>
    <r>
      <rPr>
        <vertAlign val="subscript"/>
        <sz val="12"/>
        <rFont val="Arial"/>
        <family val="2"/>
      </rPr>
      <t>1</t>
    </r>
    <r>
      <rPr>
        <sz val="12"/>
        <rFont val="Arial"/>
        <family val="2"/>
      </rPr>
      <t xml:space="preserve"> =</t>
    </r>
  </si>
  <si>
    <t>St50-2</t>
  </si>
  <si>
    <r>
      <t>p</t>
    </r>
    <r>
      <rPr>
        <vertAlign val="subscript"/>
        <sz val="12"/>
        <rFont val="Arial"/>
        <family val="2"/>
      </rPr>
      <t>EM1</t>
    </r>
    <r>
      <rPr>
        <sz val="12"/>
        <rFont val="Arial"/>
        <family val="2"/>
      </rPr>
      <t xml:space="preserve"> =</t>
    </r>
  </si>
  <si>
    <t>Tablo 14</t>
  </si>
  <si>
    <r>
      <t>L</t>
    </r>
    <r>
      <rPr>
        <vertAlign val="subscript"/>
        <sz val="12"/>
        <rFont val="Arial"/>
        <family val="2"/>
      </rPr>
      <t>2</t>
    </r>
    <r>
      <rPr>
        <sz val="12"/>
        <rFont val="Arial"/>
        <family val="2"/>
      </rPr>
      <t xml:space="preserve"> =</t>
    </r>
  </si>
  <si>
    <t>St37</t>
  </si>
  <si>
    <r>
      <t>p</t>
    </r>
    <r>
      <rPr>
        <vertAlign val="subscript"/>
        <sz val="12"/>
        <rFont val="Arial"/>
        <family val="2"/>
      </rPr>
      <t>EM2</t>
    </r>
    <r>
      <rPr>
        <sz val="12"/>
        <rFont val="Arial"/>
        <family val="2"/>
      </rPr>
      <t xml:space="preserve"> =</t>
    </r>
  </si>
  <si>
    <r>
      <t>p</t>
    </r>
    <r>
      <rPr>
        <vertAlign val="subscript"/>
        <sz val="12"/>
        <rFont val="Arial"/>
        <family val="2"/>
      </rPr>
      <t>is</t>
    </r>
    <r>
      <rPr>
        <sz val="12"/>
        <rFont val="Arial"/>
        <family val="2"/>
      </rPr>
      <t xml:space="preserve"> = </t>
    </r>
  </si>
  <si>
    <r>
      <t>L</t>
    </r>
    <r>
      <rPr>
        <vertAlign val="subscript"/>
        <sz val="12"/>
        <rFont val="Arial"/>
        <family val="2"/>
      </rPr>
      <t>3</t>
    </r>
    <r>
      <rPr>
        <sz val="12"/>
        <rFont val="Arial"/>
        <family val="2"/>
      </rPr>
      <t xml:space="preserve"> =</t>
    </r>
  </si>
  <si>
    <r>
      <t>p</t>
    </r>
    <r>
      <rPr>
        <vertAlign val="subscript"/>
        <sz val="12"/>
        <rFont val="Arial"/>
        <family val="2"/>
      </rPr>
      <t>EM</t>
    </r>
    <r>
      <rPr>
        <sz val="12"/>
        <rFont val="Arial"/>
        <family val="2"/>
      </rPr>
      <t xml:space="preserve"> =</t>
    </r>
  </si>
  <si>
    <r>
      <t>p</t>
    </r>
    <r>
      <rPr>
        <vertAlign val="subscript"/>
        <sz val="12"/>
        <rFont val="Arial"/>
        <family val="2"/>
      </rPr>
      <t>EM3</t>
    </r>
    <r>
      <rPr>
        <sz val="12"/>
        <rFont val="Arial"/>
        <family val="2"/>
      </rPr>
      <t xml:space="preserve"> =</t>
    </r>
  </si>
  <si>
    <r>
      <t xml:space="preserve">   R</t>
    </r>
    <r>
      <rPr>
        <vertAlign val="subscript"/>
        <sz val="12"/>
        <rFont val="Arial"/>
        <family val="2"/>
      </rPr>
      <t>p0,2</t>
    </r>
    <r>
      <rPr>
        <sz val="12"/>
        <rFont val="Arial"/>
        <family val="2"/>
      </rPr>
      <t>/R</t>
    </r>
    <r>
      <rPr>
        <vertAlign val="subscript"/>
        <sz val="12"/>
        <rFont val="Arial"/>
        <family val="2"/>
      </rPr>
      <t>e</t>
    </r>
    <r>
      <rPr>
        <sz val="12"/>
        <rFont val="Arial"/>
        <family val="2"/>
      </rPr>
      <t xml:space="preserve"> =</t>
    </r>
  </si>
  <si>
    <t>Tablo 12</t>
  </si>
  <si>
    <r>
      <t>A</t>
    </r>
    <r>
      <rPr>
        <vertAlign val="subscript"/>
        <sz val="12"/>
        <rFont val="Arial"/>
        <family val="2"/>
      </rPr>
      <t>3</t>
    </r>
    <r>
      <rPr>
        <sz val="12"/>
        <rFont val="Arial"/>
        <family val="2"/>
      </rPr>
      <t xml:space="preserve"> =</t>
    </r>
  </si>
  <si>
    <r>
      <t>mm</t>
    </r>
    <r>
      <rPr>
        <vertAlign val="superscript"/>
        <sz val="12"/>
        <rFont val="Arial"/>
        <family val="2"/>
      </rPr>
      <t>2</t>
    </r>
  </si>
  <si>
    <t>Tablo 4</t>
  </si>
  <si>
    <t>4.d</t>
  </si>
  <si>
    <r>
      <t>A</t>
    </r>
    <r>
      <rPr>
        <vertAlign val="subscript"/>
        <sz val="12"/>
        <rFont val="Arial"/>
        <family val="2"/>
      </rPr>
      <t>b</t>
    </r>
    <r>
      <rPr>
        <sz val="12"/>
        <rFont val="Arial"/>
        <family val="2"/>
      </rPr>
      <t xml:space="preserve"> =</t>
    </r>
  </si>
  <si>
    <t>Tablo 7, 8</t>
  </si>
  <si>
    <t>Msı =</t>
  </si>
  <si>
    <t>Nm</t>
  </si>
  <si>
    <t>Tablo 15</t>
  </si>
  <si>
    <r>
      <t>D</t>
    </r>
    <r>
      <rPr>
        <sz val="12"/>
        <rFont val="Arial"/>
        <family val="2"/>
      </rPr>
      <t>Msı =</t>
    </r>
  </si>
  <si>
    <t>Fönmax =</t>
  </si>
  <si>
    <r>
      <t>*)1</t>
    </r>
    <r>
      <rPr>
        <sz val="12"/>
        <rFont val="Arial"/>
        <family val="2"/>
      </rPr>
      <t xml:space="preserve">  </t>
    </r>
    <r>
      <rPr>
        <sz val="12"/>
        <rFont val="Symbol"/>
        <family val="1"/>
      </rPr>
      <t xml:space="preserve"> f</t>
    </r>
    <r>
      <rPr>
        <sz val="12"/>
        <rFont val="Arial"/>
        <family val="2"/>
      </rPr>
      <t xml:space="preserve"> =</t>
    </r>
  </si>
  <si>
    <r>
      <t>[</t>
    </r>
    <r>
      <rPr>
        <sz val="12"/>
        <rFont val="Symbol"/>
        <family val="1"/>
      </rPr>
      <t>-</t>
    </r>
    <r>
      <rPr>
        <sz val="12"/>
        <rFont val="Arial"/>
        <family val="2"/>
      </rPr>
      <t>]</t>
    </r>
  </si>
  <si>
    <r>
      <t>f</t>
    </r>
    <r>
      <rPr>
        <sz val="12"/>
        <color indexed="12"/>
        <rFont val="Arial"/>
        <family val="2"/>
      </rPr>
      <t>= 0,35</t>
    </r>
  </si>
  <si>
    <r>
      <t xml:space="preserve">Literatür  </t>
    </r>
    <r>
      <rPr>
        <b/>
        <sz val="10"/>
        <color indexed="10"/>
        <rFont val="Arial"/>
        <family val="2"/>
      </rPr>
      <t>*)3</t>
    </r>
  </si>
  <si>
    <r>
      <t>F</t>
    </r>
    <r>
      <rPr>
        <vertAlign val="subscript"/>
        <sz val="12"/>
        <rFont val="Arial"/>
        <family val="2"/>
      </rPr>
      <t>İŞmax</t>
    </r>
  </si>
  <si>
    <r>
      <t>F</t>
    </r>
    <r>
      <rPr>
        <vertAlign val="subscript"/>
        <sz val="12"/>
        <rFont val="Arial"/>
        <family val="2"/>
      </rPr>
      <t>İŞmin</t>
    </r>
  </si>
  <si>
    <t>S355</t>
  </si>
  <si>
    <r>
      <t>F</t>
    </r>
    <r>
      <rPr>
        <vertAlign val="subscript"/>
        <sz val="12"/>
        <rFont val="Arial"/>
        <family val="2"/>
      </rPr>
      <t>E</t>
    </r>
  </si>
  <si>
    <r>
      <t>L</t>
    </r>
    <r>
      <rPr>
        <vertAlign val="subscript"/>
        <sz val="12"/>
        <rFont val="Arial"/>
        <family val="2"/>
      </rPr>
      <t>PSı</t>
    </r>
  </si>
  <si>
    <t>m</t>
  </si>
  <si>
    <r>
      <t>E</t>
    </r>
    <r>
      <rPr>
        <vertAlign val="subscript"/>
        <sz val="12"/>
        <rFont val="Arial"/>
        <family val="2"/>
      </rPr>
      <t>din</t>
    </r>
  </si>
  <si>
    <t>Fsı 1</t>
  </si>
  <si>
    <t>Tablo 17</t>
  </si>
  <si>
    <t>Tablo 9, 12</t>
  </si>
  <si>
    <r>
      <t>p</t>
    </r>
    <r>
      <rPr>
        <vertAlign val="subscript"/>
        <sz val="12"/>
        <rFont val="Arial"/>
        <family val="2"/>
      </rPr>
      <t>S</t>
    </r>
  </si>
  <si>
    <t>Tablo 2</t>
  </si>
  <si>
    <r>
      <t>m</t>
    </r>
    <r>
      <rPr>
        <vertAlign val="subscript"/>
        <sz val="12"/>
        <rFont val="Arial"/>
        <family val="2"/>
      </rPr>
      <t>Vi</t>
    </r>
    <r>
      <rPr>
        <sz val="12"/>
        <rFont val="Arial"/>
        <family val="2"/>
      </rPr>
      <t xml:space="preserve"> / </t>
    </r>
    <r>
      <rPr>
        <sz val="12"/>
        <rFont val="Symbol"/>
        <family val="1"/>
      </rPr>
      <t>r</t>
    </r>
    <r>
      <rPr>
        <vertAlign val="subscript"/>
        <sz val="12"/>
        <rFont val="Arial"/>
        <family val="2"/>
      </rPr>
      <t>Vi</t>
    </r>
  </si>
  <si>
    <r>
      <t>N/mm</t>
    </r>
    <r>
      <rPr>
        <vertAlign val="superscript"/>
        <sz val="10"/>
        <rFont val="Arial"/>
        <family val="2"/>
      </rPr>
      <t>2</t>
    </r>
  </si>
  <si>
    <r>
      <t>m</t>
    </r>
    <r>
      <rPr>
        <vertAlign val="subscript"/>
        <sz val="12"/>
        <rFont val="Arial"/>
        <family val="2"/>
      </rPr>
      <t xml:space="preserve">K </t>
    </r>
    <r>
      <rPr>
        <sz val="12"/>
        <rFont val="Arial"/>
        <family val="2"/>
      </rPr>
      <t xml:space="preserve">/ </t>
    </r>
    <r>
      <rPr>
        <sz val="12"/>
        <rFont val="Symbol"/>
        <family val="1"/>
      </rPr>
      <t>r</t>
    </r>
    <r>
      <rPr>
        <vertAlign val="subscript"/>
        <sz val="12"/>
        <rFont val="Arial"/>
        <family val="2"/>
      </rPr>
      <t>K</t>
    </r>
  </si>
  <si>
    <r>
      <t>a</t>
    </r>
    <r>
      <rPr>
        <vertAlign val="subscript"/>
        <sz val="12"/>
        <rFont val="Arial"/>
        <family val="2"/>
      </rPr>
      <t>Sı</t>
    </r>
  </si>
  <si>
    <t>Tablo 11</t>
  </si>
  <si>
    <r>
      <t>M</t>
    </r>
    <r>
      <rPr>
        <vertAlign val="subscript"/>
        <sz val="12"/>
        <rFont val="Arial"/>
        <family val="2"/>
      </rPr>
      <t xml:space="preserve">Sı max </t>
    </r>
    <r>
      <rPr>
        <sz val="12"/>
        <color indexed="10"/>
        <rFont val="Arial"/>
        <family val="2"/>
      </rPr>
      <t>*)2</t>
    </r>
  </si>
  <si>
    <r>
      <t>M</t>
    </r>
    <r>
      <rPr>
        <vertAlign val="subscript"/>
        <sz val="12"/>
        <rFont val="Arial"/>
        <family val="2"/>
      </rPr>
      <t>Sı min</t>
    </r>
  </si>
  <si>
    <t>Tablo 4, 5 ve 7, 8</t>
  </si>
  <si>
    <t>d</t>
  </si>
  <si>
    <r>
      <t>d</t>
    </r>
    <r>
      <rPr>
        <vertAlign val="subscript"/>
        <sz val="12"/>
        <rFont val="Arial"/>
        <family val="2"/>
      </rPr>
      <t xml:space="preserve">C  </t>
    </r>
  </si>
  <si>
    <t>P</t>
  </si>
  <si>
    <t>j</t>
  </si>
  <si>
    <r>
      <t>L</t>
    </r>
    <r>
      <rPr>
        <vertAlign val="subscript"/>
        <sz val="12"/>
        <rFont val="Arial"/>
        <family val="2"/>
      </rPr>
      <t>Cı</t>
    </r>
  </si>
  <si>
    <r>
      <t>D</t>
    </r>
    <r>
      <rPr>
        <vertAlign val="subscript"/>
        <sz val="10"/>
        <rFont val="Arial"/>
        <family val="2"/>
      </rPr>
      <t>Phe</t>
    </r>
  </si>
  <si>
    <r>
      <t>L</t>
    </r>
    <r>
      <rPr>
        <vertAlign val="subscript"/>
        <sz val="12"/>
        <rFont val="Arial"/>
        <family val="2"/>
      </rPr>
      <t>Vi</t>
    </r>
  </si>
  <si>
    <r>
      <t>D</t>
    </r>
    <r>
      <rPr>
        <vertAlign val="subscript"/>
        <sz val="10"/>
        <rFont val="Arial"/>
        <family val="2"/>
      </rPr>
      <t>P</t>
    </r>
  </si>
  <si>
    <r>
      <t>M</t>
    </r>
    <r>
      <rPr>
        <vertAlign val="subscript"/>
        <sz val="10"/>
        <rFont val="Arial"/>
        <family val="2"/>
      </rPr>
      <t>t</t>
    </r>
    <r>
      <rPr>
        <vertAlign val="subscript"/>
        <sz val="12"/>
        <rFont val="Arial"/>
        <family val="2"/>
      </rPr>
      <t>Vi</t>
    </r>
  </si>
  <si>
    <r>
      <t>I. R</t>
    </r>
    <r>
      <rPr>
        <vertAlign val="subscript"/>
        <sz val="12"/>
        <rFont val="Arial"/>
        <family val="2"/>
      </rPr>
      <t xml:space="preserve">e </t>
    </r>
    <r>
      <rPr>
        <sz val="10"/>
        <rFont val="Arial"/>
        <family val="2"/>
      </rPr>
      <t xml:space="preserve">/ </t>
    </r>
    <r>
      <rPr>
        <sz val="12"/>
        <rFont val="Symbol"/>
        <family val="1"/>
      </rPr>
      <t>s</t>
    </r>
    <r>
      <rPr>
        <vertAlign val="subscript"/>
        <sz val="12"/>
        <rFont val="Arial"/>
        <family val="2"/>
      </rPr>
      <t>bi</t>
    </r>
  </si>
  <si>
    <r>
      <t>L</t>
    </r>
    <r>
      <rPr>
        <vertAlign val="subscript"/>
        <sz val="12"/>
        <rFont val="Arial"/>
        <family val="2"/>
      </rPr>
      <t>Sı</t>
    </r>
  </si>
  <si>
    <t>x</t>
  </si>
  <si>
    <r>
      <t>t</t>
    </r>
    <r>
      <rPr>
        <vertAlign val="subscript"/>
        <sz val="12"/>
        <rFont val="Arial"/>
        <family val="2"/>
      </rPr>
      <t>tmax</t>
    </r>
  </si>
  <si>
    <t>s</t>
  </si>
  <si>
    <r>
      <t>A</t>
    </r>
    <r>
      <rPr>
        <vertAlign val="subscript"/>
        <sz val="12"/>
        <rFont val="Arial"/>
        <family val="2"/>
      </rPr>
      <t>EŞ</t>
    </r>
  </si>
  <si>
    <r>
      <t>s</t>
    </r>
    <r>
      <rPr>
        <vertAlign val="subscript"/>
        <sz val="12"/>
        <rFont val="Arial"/>
        <family val="2"/>
      </rPr>
      <t>çe M</t>
    </r>
  </si>
  <si>
    <r>
      <t>d</t>
    </r>
    <r>
      <rPr>
        <vertAlign val="subscript"/>
        <sz val="12"/>
        <rFont val="Arial"/>
        <family val="2"/>
      </rPr>
      <t>D</t>
    </r>
  </si>
  <si>
    <r>
      <t>d</t>
    </r>
    <r>
      <rPr>
        <vertAlign val="subscript"/>
        <sz val="12"/>
        <rFont val="Arial"/>
        <family val="2"/>
      </rPr>
      <t>P</t>
    </r>
  </si>
  <si>
    <r>
      <t>s</t>
    </r>
    <r>
      <rPr>
        <vertAlign val="subscript"/>
        <sz val="12"/>
        <rFont val="Arial"/>
        <family val="2"/>
      </rPr>
      <t>bi M</t>
    </r>
  </si>
  <si>
    <r>
      <t>d</t>
    </r>
    <r>
      <rPr>
        <vertAlign val="subscript"/>
        <sz val="12"/>
        <rFont val="Arial"/>
        <family val="2"/>
      </rPr>
      <t>G</t>
    </r>
  </si>
  <si>
    <t>n</t>
  </si>
  <si>
    <t>Tablo 3</t>
  </si>
  <si>
    <r>
      <t>d</t>
    </r>
    <r>
      <rPr>
        <vertAlign val="subscript"/>
        <sz val="12"/>
        <rFont val="Arial"/>
        <family val="2"/>
      </rPr>
      <t>2</t>
    </r>
  </si>
  <si>
    <t>f</t>
  </si>
  <si>
    <r>
      <t>A</t>
    </r>
    <r>
      <rPr>
        <vertAlign val="subscript"/>
        <sz val="12"/>
        <rFont val="Arial"/>
        <family val="2"/>
      </rPr>
      <t>b</t>
    </r>
  </si>
  <si>
    <r>
      <t>II. p</t>
    </r>
    <r>
      <rPr>
        <vertAlign val="subscript"/>
        <sz val="12"/>
        <rFont val="Arial"/>
        <family val="2"/>
      </rPr>
      <t>S</t>
    </r>
    <r>
      <rPr>
        <vertAlign val="subscript"/>
        <sz val="10"/>
        <rFont val="Arial"/>
        <family val="2"/>
      </rPr>
      <t xml:space="preserve"> </t>
    </r>
    <r>
      <rPr>
        <sz val="10"/>
        <rFont val="Arial"/>
        <family val="2"/>
      </rPr>
      <t>/ p</t>
    </r>
    <r>
      <rPr>
        <vertAlign val="subscript"/>
        <sz val="12"/>
        <rFont val="Arial"/>
        <family val="2"/>
      </rPr>
      <t>M</t>
    </r>
  </si>
  <si>
    <r>
      <t>f</t>
    </r>
    <r>
      <rPr>
        <vertAlign val="subscript"/>
        <sz val="12"/>
        <rFont val="Arial"/>
        <family val="2"/>
      </rPr>
      <t>Ot</t>
    </r>
  </si>
  <si>
    <t>Tablo 13</t>
  </si>
  <si>
    <r>
      <t>p</t>
    </r>
    <r>
      <rPr>
        <vertAlign val="subscript"/>
        <sz val="12"/>
        <rFont val="Arial"/>
        <family val="2"/>
      </rPr>
      <t>M</t>
    </r>
  </si>
  <si>
    <r>
      <t>d</t>
    </r>
    <r>
      <rPr>
        <vertAlign val="subscript"/>
        <sz val="12"/>
        <rFont val="Arial"/>
        <family val="2"/>
      </rPr>
      <t>3</t>
    </r>
  </si>
  <si>
    <r>
      <t>F</t>
    </r>
    <r>
      <rPr>
        <vertAlign val="subscript"/>
        <sz val="12"/>
        <rFont val="Arial"/>
        <family val="2"/>
      </rPr>
      <t>Ot</t>
    </r>
  </si>
  <si>
    <t>9.1)</t>
  </si>
  <si>
    <r>
      <t>A</t>
    </r>
    <r>
      <rPr>
        <vertAlign val="subscript"/>
        <sz val="12"/>
        <rFont val="Arial"/>
        <family val="2"/>
      </rPr>
      <t>3</t>
    </r>
  </si>
  <si>
    <r>
      <t>F</t>
    </r>
    <r>
      <rPr>
        <vertAlign val="subscript"/>
        <sz val="12"/>
        <rFont val="Arial"/>
        <family val="2"/>
      </rPr>
      <t>Ek</t>
    </r>
  </si>
  <si>
    <r>
      <t>s</t>
    </r>
    <r>
      <rPr>
        <vertAlign val="subscript"/>
        <sz val="12"/>
        <rFont val="Arial"/>
        <family val="2"/>
      </rPr>
      <t>Çeİş</t>
    </r>
  </si>
  <si>
    <r>
      <t>III. R</t>
    </r>
    <r>
      <rPr>
        <vertAlign val="subscript"/>
        <sz val="12"/>
        <rFont val="Arial"/>
        <family val="2"/>
      </rPr>
      <t>eİş</t>
    </r>
    <r>
      <rPr>
        <sz val="10"/>
        <rFont val="Arial"/>
        <family val="2"/>
      </rPr>
      <t>/</t>
    </r>
    <r>
      <rPr>
        <sz val="10"/>
        <rFont val="Symbol"/>
        <family val="1"/>
      </rPr>
      <t>s</t>
    </r>
    <r>
      <rPr>
        <vertAlign val="subscript"/>
        <sz val="12"/>
        <rFont val="Arial"/>
        <family val="2"/>
      </rPr>
      <t>biİş</t>
    </r>
  </si>
  <si>
    <r>
      <t>d</t>
    </r>
    <r>
      <rPr>
        <vertAlign val="subscript"/>
        <sz val="12"/>
        <rFont val="Arial"/>
        <family val="2"/>
      </rPr>
      <t>Ş</t>
    </r>
  </si>
  <si>
    <r>
      <t>F</t>
    </r>
    <r>
      <rPr>
        <vertAlign val="subscript"/>
        <sz val="12"/>
        <rFont val="Arial"/>
        <family val="2"/>
      </rPr>
      <t>P</t>
    </r>
  </si>
  <si>
    <r>
      <t>s</t>
    </r>
    <r>
      <rPr>
        <vertAlign val="subscript"/>
        <sz val="12"/>
        <rFont val="Arial"/>
        <family val="2"/>
      </rPr>
      <t>biİş</t>
    </r>
  </si>
  <si>
    <r>
      <t>A</t>
    </r>
    <r>
      <rPr>
        <vertAlign val="subscript"/>
        <sz val="12"/>
        <rFont val="Arial"/>
        <family val="2"/>
      </rPr>
      <t>Ş</t>
    </r>
  </si>
  <si>
    <r>
      <t>F</t>
    </r>
    <r>
      <rPr>
        <vertAlign val="subscript"/>
        <sz val="12"/>
        <rFont val="Arial"/>
        <family val="2"/>
      </rPr>
      <t>ÖN ger</t>
    </r>
  </si>
  <si>
    <r>
      <t>L</t>
    </r>
    <r>
      <rPr>
        <vertAlign val="subscript"/>
        <sz val="12"/>
        <rFont val="Arial"/>
        <family val="2"/>
      </rPr>
      <t>Ş</t>
    </r>
  </si>
  <si>
    <r>
      <t>F</t>
    </r>
    <r>
      <rPr>
        <vertAlign val="subscript"/>
        <sz val="12"/>
        <rFont val="Arial"/>
        <family val="2"/>
      </rPr>
      <t>ÖNM He</t>
    </r>
  </si>
  <si>
    <r>
      <t>IV. p</t>
    </r>
    <r>
      <rPr>
        <vertAlign val="subscript"/>
        <sz val="12"/>
        <rFont val="Arial"/>
        <family val="2"/>
      </rPr>
      <t>S</t>
    </r>
    <r>
      <rPr>
        <vertAlign val="subscript"/>
        <sz val="10"/>
        <rFont val="Arial"/>
        <family val="2"/>
      </rPr>
      <t xml:space="preserve"> </t>
    </r>
    <r>
      <rPr>
        <sz val="10"/>
        <rFont val="Arial"/>
        <family val="2"/>
      </rPr>
      <t>/ p</t>
    </r>
    <r>
      <rPr>
        <vertAlign val="subscript"/>
        <sz val="12"/>
        <rFont val="Arial"/>
        <family val="2"/>
      </rPr>
      <t>İş</t>
    </r>
  </si>
  <si>
    <r>
      <t>F</t>
    </r>
    <r>
      <rPr>
        <vertAlign val="subscript"/>
        <sz val="12"/>
        <rFont val="Arial"/>
        <family val="2"/>
      </rPr>
      <t xml:space="preserve">ÖNM max </t>
    </r>
    <r>
      <rPr>
        <b/>
        <sz val="12"/>
        <color indexed="10"/>
        <rFont val="Arial"/>
        <family val="2"/>
      </rPr>
      <t>*)2</t>
    </r>
  </si>
  <si>
    <r>
      <t>d</t>
    </r>
    <r>
      <rPr>
        <vertAlign val="subscript"/>
        <sz val="12"/>
        <rFont val="Arial"/>
        <family val="2"/>
      </rPr>
      <t>GE</t>
    </r>
  </si>
  <si>
    <r>
      <t>F</t>
    </r>
    <r>
      <rPr>
        <vertAlign val="subscript"/>
        <sz val="12"/>
        <rFont val="Arial"/>
        <family val="2"/>
      </rPr>
      <t>ÖN max</t>
    </r>
  </si>
  <si>
    <r>
      <t>F</t>
    </r>
    <r>
      <rPr>
        <vertAlign val="subscript"/>
        <sz val="12"/>
        <rFont val="Arial"/>
        <family val="2"/>
      </rPr>
      <t>g</t>
    </r>
  </si>
  <si>
    <r>
      <t>A</t>
    </r>
    <r>
      <rPr>
        <vertAlign val="subscript"/>
        <sz val="12"/>
        <rFont val="Arial"/>
        <family val="2"/>
      </rPr>
      <t>GE</t>
    </r>
  </si>
  <si>
    <r>
      <t>F</t>
    </r>
    <r>
      <rPr>
        <vertAlign val="subscript"/>
        <sz val="12"/>
        <rFont val="Arial"/>
        <family val="2"/>
      </rPr>
      <t>ÖN min</t>
    </r>
  </si>
  <si>
    <r>
      <t>s</t>
    </r>
    <r>
      <rPr>
        <vertAlign val="subscript"/>
        <sz val="12"/>
        <rFont val="Arial"/>
        <family val="2"/>
      </rPr>
      <t>g</t>
    </r>
  </si>
  <si>
    <r>
      <t xml:space="preserve">V. </t>
    </r>
    <r>
      <rPr>
        <sz val="10"/>
        <rFont val="Symbol"/>
        <family val="1"/>
      </rPr>
      <t xml:space="preserve"> s</t>
    </r>
    <r>
      <rPr>
        <vertAlign val="subscript"/>
        <sz val="12"/>
        <rFont val="Arial"/>
        <family val="2"/>
      </rPr>
      <t>G</t>
    </r>
    <r>
      <rPr>
        <vertAlign val="subscript"/>
        <sz val="10"/>
        <rFont val="Arial"/>
        <family val="2"/>
      </rPr>
      <t xml:space="preserve"> </t>
    </r>
    <r>
      <rPr>
        <sz val="10"/>
        <rFont val="Arial"/>
        <family val="2"/>
      </rPr>
      <t xml:space="preserve">/ </t>
    </r>
    <r>
      <rPr>
        <sz val="10"/>
        <rFont val="Symbol"/>
        <family val="1"/>
      </rPr>
      <t>s</t>
    </r>
    <r>
      <rPr>
        <vertAlign val="subscript"/>
        <sz val="12"/>
        <rFont val="Arial"/>
        <family val="2"/>
      </rPr>
      <t>gtop</t>
    </r>
  </si>
  <si>
    <r>
      <t>W</t>
    </r>
    <r>
      <rPr>
        <vertAlign val="subscript"/>
        <sz val="10"/>
        <rFont val="Arial"/>
        <family val="2"/>
      </rPr>
      <t>t</t>
    </r>
  </si>
  <si>
    <r>
      <t>F</t>
    </r>
    <r>
      <rPr>
        <vertAlign val="subscript"/>
        <sz val="12"/>
        <rFont val="Arial"/>
        <family val="2"/>
      </rPr>
      <t>Cı max</t>
    </r>
  </si>
  <si>
    <r>
      <t>s</t>
    </r>
    <r>
      <rPr>
        <vertAlign val="subscript"/>
        <sz val="12"/>
        <rFont val="Arial"/>
        <family val="2"/>
      </rPr>
      <t>G</t>
    </r>
  </si>
  <si>
    <t>*)1</t>
  </si>
  <si>
    <t>*)2</t>
  </si>
  <si>
    <t>*)3</t>
  </si>
  <si>
    <t>Mukavemet değerleri, Tablolar</t>
  </si>
  <si>
    <r>
      <t>d</t>
    </r>
    <r>
      <rPr>
        <vertAlign val="subscript"/>
        <sz val="10"/>
        <rFont val="Arial"/>
        <family val="2"/>
      </rPr>
      <t>K</t>
    </r>
    <r>
      <rPr>
        <sz val="10"/>
        <rFont val="Arial"/>
        <family val="2"/>
      </rPr>
      <t xml:space="preserve"> =</t>
    </r>
  </si>
  <si>
    <r>
      <t>d</t>
    </r>
    <r>
      <rPr>
        <vertAlign val="subscript"/>
        <sz val="10"/>
        <rFont val="Arial"/>
        <family val="2"/>
      </rPr>
      <t>Schaft</t>
    </r>
    <r>
      <rPr>
        <sz val="10"/>
        <rFont val="Arial"/>
        <family val="2"/>
      </rPr>
      <t xml:space="preserve"> =</t>
    </r>
  </si>
  <si>
    <r>
      <t>d</t>
    </r>
    <r>
      <rPr>
        <vertAlign val="subscript"/>
        <sz val="10"/>
        <rFont val="Arial"/>
        <family val="2"/>
      </rPr>
      <t>Gew</t>
    </r>
    <r>
      <rPr>
        <sz val="10"/>
        <rFont val="Arial"/>
        <family val="2"/>
      </rPr>
      <t xml:space="preserve"> =</t>
    </r>
  </si>
  <si>
    <r>
      <t>d</t>
    </r>
    <r>
      <rPr>
        <sz val="10"/>
        <rFont val="Arial"/>
        <family val="2"/>
      </rPr>
      <t>G =</t>
    </r>
  </si>
  <si>
    <r>
      <t>d</t>
    </r>
    <r>
      <rPr>
        <sz val="10"/>
        <rFont val="Arial"/>
        <family val="2"/>
      </rPr>
      <t>So =</t>
    </r>
  </si>
  <si>
    <r>
      <t>d</t>
    </r>
    <r>
      <rPr>
        <vertAlign val="subscript"/>
        <sz val="10"/>
        <rFont val="Arial"/>
        <family val="2"/>
      </rPr>
      <t>S</t>
    </r>
    <r>
      <rPr>
        <sz val="10"/>
        <rFont val="Arial"/>
        <family val="2"/>
      </rPr>
      <t xml:space="preserve"> =</t>
    </r>
  </si>
  <si>
    <r>
      <t>d</t>
    </r>
    <r>
      <rPr>
        <vertAlign val="subscript"/>
        <sz val="10"/>
        <rFont val="Arial"/>
        <family val="2"/>
      </rPr>
      <t>T1</t>
    </r>
    <r>
      <rPr>
        <sz val="10"/>
        <rFont val="Arial"/>
        <family val="2"/>
      </rPr>
      <t xml:space="preserve"> =</t>
    </r>
  </si>
  <si>
    <r>
      <t>d</t>
    </r>
    <r>
      <rPr>
        <vertAlign val="subscript"/>
        <sz val="10"/>
        <rFont val="Arial"/>
        <family val="2"/>
      </rPr>
      <t>T2</t>
    </r>
    <r>
      <rPr>
        <sz val="10"/>
        <rFont val="Arial"/>
        <family val="2"/>
      </rPr>
      <t xml:space="preserve"> =</t>
    </r>
  </si>
  <si>
    <r>
      <t>d</t>
    </r>
    <r>
      <rPr>
        <vertAlign val="subscript"/>
        <sz val="10"/>
        <rFont val="Arial"/>
        <family val="2"/>
      </rPr>
      <t>T3</t>
    </r>
    <r>
      <rPr>
        <sz val="10"/>
        <rFont val="Arial"/>
        <family val="2"/>
      </rPr>
      <t xml:space="preserve"> =</t>
    </r>
  </si>
  <si>
    <r>
      <t>d</t>
    </r>
    <r>
      <rPr>
        <vertAlign val="subscript"/>
        <sz val="10"/>
        <rFont val="Arial"/>
        <family val="2"/>
      </rPr>
      <t>T</t>
    </r>
    <r>
      <rPr>
        <sz val="10"/>
        <rFont val="Arial"/>
        <family val="2"/>
      </rPr>
      <t xml:space="preserve"> =</t>
    </r>
  </si>
  <si>
    <r>
      <t xml:space="preserve">f </t>
    </r>
    <r>
      <rPr>
        <sz val="10"/>
        <rFont val="Arial"/>
        <family val="2"/>
      </rPr>
      <t>=</t>
    </r>
  </si>
  <si>
    <t>Egilmeden degan yüzey basinci</t>
  </si>
  <si>
    <t>x=</t>
  </si>
  <si>
    <r>
      <t>b</t>
    </r>
    <r>
      <rPr>
        <vertAlign val="subscript"/>
        <sz val="10"/>
        <rFont val="Arial"/>
        <family val="2"/>
      </rPr>
      <t>K</t>
    </r>
    <r>
      <rPr>
        <sz val="10"/>
        <rFont val="Arial"/>
        <family val="2"/>
      </rPr>
      <t xml:space="preserve"> =</t>
    </r>
  </si>
  <si>
    <r>
      <t>b</t>
    </r>
    <r>
      <rPr>
        <vertAlign val="subscript"/>
        <sz val="10"/>
        <rFont val="Arial"/>
        <family val="2"/>
      </rPr>
      <t>Schaft</t>
    </r>
    <r>
      <rPr>
        <sz val="10"/>
        <rFont val="Arial"/>
        <family val="2"/>
      </rPr>
      <t xml:space="preserve"> =</t>
    </r>
  </si>
  <si>
    <r>
      <t>b</t>
    </r>
    <r>
      <rPr>
        <vertAlign val="subscript"/>
        <sz val="10"/>
        <rFont val="Arial"/>
        <family val="2"/>
      </rPr>
      <t>Gew</t>
    </r>
    <r>
      <rPr>
        <sz val="10"/>
        <rFont val="Arial"/>
        <family val="2"/>
      </rPr>
      <t xml:space="preserve"> =</t>
    </r>
  </si>
  <si>
    <r>
      <t>b</t>
    </r>
    <r>
      <rPr>
        <vertAlign val="subscript"/>
        <sz val="10"/>
        <rFont val="Arial"/>
        <family val="2"/>
      </rPr>
      <t>GM</t>
    </r>
    <r>
      <rPr>
        <sz val="10"/>
        <rFont val="Arial"/>
        <family val="2"/>
      </rPr>
      <t xml:space="preserve"> =</t>
    </r>
  </si>
  <si>
    <r>
      <t>b</t>
    </r>
    <r>
      <rPr>
        <vertAlign val="subscript"/>
        <sz val="10"/>
        <rFont val="Arial"/>
        <family val="2"/>
      </rPr>
      <t>Ci</t>
    </r>
    <r>
      <rPr>
        <sz val="10"/>
        <rFont val="Arial"/>
        <family val="2"/>
      </rPr>
      <t xml:space="preserve"> =</t>
    </r>
  </si>
  <si>
    <r>
      <t>c</t>
    </r>
    <r>
      <rPr>
        <vertAlign val="subscript"/>
        <sz val="10"/>
        <rFont val="Arial"/>
        <family val="2"/>
      </rPr>
      <t>K</t>
    </r>
    <r>
      <rPr>
        <sz val="10"/>
        <rFont val="Arial"/>
        <family val="2"/>
      </rPr>
      <t>=</t>
    </r>
  </si>
  <si>
    <r>
      <t>h</t>
    </r>
    <r>
      <rPr>
        <vertAlign val="subscript"/>
        <sz val="10"/>
        <rFont val="Arial"/>
        <family val="2"/>
      </rPr>
      <t>min</t>
    </r>
    <r>
      <rPr>
        <sz val="10"/>
        <rFont val="Arial"/>
        <family val="2"/>
      </rPr>
      <t>=</t>
    </r>
  </si>
  <si>
    <r>
      <t>I</t>
    </r>
    <r>
      <rPr>
        <vertAlign val="subscript"/>
        <sz val="10"/>
        <rFont val="Arial"/>
        <family val="2"/>
      </rPr>
      <t>d</t>
    </r>
    <r>
      <rPr>
        <sz val="10"/>
        <rFont val="Arial"/>
        <family val="2"/>
      </rPr>
      <t xml:space="preserve"> =</t>
    </r>
  </si>
  <si>
    <r>
      <t>I</t>
    </r>
    <r>
      <rPr>
        <vertAlign val="subscript"/>
        <sz val="10"/>
        <rFont val="Arial"/>
        <family val="2"/>
      </rPr>
      <t>3</t>
    </r>
    <r>
      <rPr>
        <sz val="10"/>
        <rFont val="Arial"/>
        <family val="2"/>
      </rPr>
      <t xml:space="preserve"> =</t>
    </r>
  </si>
  <si>
    <r>
      <t>L</t>
    </r>
    <r>
      <rPr>
        <vertAlign val="subscript"/>
        <sz val="10"/>
        <rFont val="Arial"/>
        <family val="2"/>
      </rPr>
      <t>ES</t>
    </r>
    <r>
      <rPr>
        <sz val="10"/>
        <rFont val="Arial"/>
        <family val="2"/>
      </rPr>
      <t>=</t>
    </r>
  </si>
  <si>
    <r>
      <t>I</t>
    </r>
    <r>
      <rPr>
        <vertAlign val="subscript"/>
        <sz val="10"/>
        <rFont val="Arial"/>
        <family val="2"/>
      </rPr>
      <t>Te</t>
    </r>
    <r>
      <rPr>
        <sz val="10"/>
        <rFont val="Arial"/>
        <family val="2"/>
      </rPr>
      <t>=</t>
    </r>
  </si>
  <si>
    <r>
      <t>I</t>
    </r>
    <r>
      <rPr>
        <vertAlign val="subscript"/>
        <sz val="10"/>
        <rFont val="Arial"/>
        <family val="2"/>
      </rPr>
      <t>BP</t>
    </r>
    <r>
      <rPr>
        <sz val="10"/>
        <rFont val="Arial"/>
        <family val="2"/>
      </rPr>
      <t>=</t>
    </r>
  </si>
  <si>
    <r>
      <t>b</t>
    </r>
    <r>
      <rPr>
        <vertAlign val="subscript"/>
        <sz val="10"/>
        <rFont val="Arial"/>
        <family val="2"/>
      </rPr>
      <t>eg</t>
    </r>
    <r>
      <rPr>
        <sz val="10"/>
        <rFont val="Arial"/>
        <family val="2"/>
      </rPr>
      <t xml:space="preserve"> =</t>
    </r>
  </si>
  <si>
    <t>Weg =</t>
  </si>
  <si>
    <r>
      <t>W</t>
    </r>
    <r>
      <rPr>
        <vertAlign val="subscript"/>
        <sz val="10"/>
        <rFont val="Arial"/>
        <family val="2"/>
      </rPr>
      <t>egP</t>
    </r>
    <r>
      <rPr>
        <sz val="10"/>
        <rFont val="Arial"/>
        <family val="2"/>
      </rPr>
      <t>=</t>
    </r>
  </si>
  <si>
    <r>
      <t>I</t>
    </r>
    <r>
      <rPr>
        <vertAlign val="subscript"/>
        <sz val="10"/>
        <rFont val="Arial"/>
        <family val="2"/>
      </rPr>
      <t>BT</t>
    </r>
    <r>
      <rPr>
        <sz val="10"/>
        <rFont val="Arial"/>
        <family val="2"/>
      </rPr>
      <t>=</t>
    </r>
  </si>
  <si>
    <r>
      <t>I</t>
    </r>
    <r>
      <rPr>
        <vertAlign val="subscript"/>
        <sz val="10"/>
        <rFont val="Arial"/>
        <family val="2"/>
      </rPr>
      <t>K</t>
    </r>
    <r>
      <rPr>
        <sz val="10"/>
        <rFont val="Arial"/>
        <family val="2"/>
      </rPr>
      <t xml:space="preserve"> =</t>
    </r>
  </si>
  <si>
    <t>Meg=</t>
  </si>
  <si>
    <r>
      <t>s</t>
    </r>
    <r>
      <rPr>
        <vertAlign val="subscript"/>
        <sz val="12"/>
        <rFont val="Arial"/>
        <family val="2"/>
      </rPr>
      <t>geg</t>
    </r>
    <r>
      <rPr>
        <sz val="10"/>
        <rFont val="Arial"/>
        <family val="2"/>
      </rPr>
      <t xml:space="preserve"> = </t>
    </r>
  </si>
  <si>
    <t>Tablo 9</t>
  </si>
  <si>
    <r>
      <t>L</t>
    </r>
    <r>
      <rPr>
        <vertAlign val="subscript"/>
        <sz val="12"/>
        <rFont val="Arial"/>
        <family val="2"/>
      </rPr>
      <t>V</t>
    </r>
  </si>
  <si>
    <r>
      <t>h</t>
    </r>
    <r>
      <rPr>
        <vertAlign val="subscript"/>
        <sz val="12"/>
        <rFont val="Arial"/>
        <family val="2"/>
      </rPr>
      <t>y</t>
    </r>
  </si>
  <si>
    <r>
      <t>s</t>
    </r>
    <r>
      <rPr>
        <vertAlign val="subscript"/>
        <sz val="12"/>
        <rFont val="Arial"/>
        <family val="2"/>
      </rPr>
      <t>DEĞ</t>
    </r>
  </si>
  <si>
    <t>Nimonic80A</t>
  </si>
  <si>
    <t>°C</t>
  </si>
  <si>
    <r>
      <t>R</t>
    </r>
    <r>
      <rPr>
        <vertAlign val="subscript"/>
        <sz val="10"/>
        <rFont val="Arial"/>
        <family val="2"/>
      </rPr>
      <t>m</t>
    </r>
  </si>
  <si>
    <r>
      <t>W</t>
    </r>
    <r>
      <rPr>
        <vertAlign val="subscript"/>
        <sz val="12"/>
        <rFont val="Arial"/>
        <family val="2"/>
      </rPr>
      <t>eğ</t>
    </r>
  </si>
  <si>
    <r>
      <t>R</t>
    </r>
    <r>
      <rPr>
        <vertAlign val="subscript"/>
        <sz val="10"/>
        <rFont val="Arial"/>
        <family val="2"/>
      </rPr>
      <t>e</t>
    </r>
  </si>
  <si>
    <r>
      <t>a</t>
    </r>
    <r>
      <rPr>
        <vertAlign val="subscript"/>
        <sz val="12"/>
        <rFont val="Arial"/>
        <family val="2"/>
      </rPr>
      <t>orL</t>
    </r>
  </si>
  <si>
    <r>
      <t>10</t>
    </r>
    <r>
      <rPr>
        <vertAlign val="superscript"/>
        <sz val="10"/>
        <rFont val="Arial"/>
        <family val="2"/>
      </rPr>
      <t>-6</t>
    </r>
    <r>
      <rPr>
        <sz val="10"/>
        <rFont val="Arial"/>
        <family val="2"/>
      </rPr>
      <t xml:space="preserve"> . K</t>
    </r>
    <r>
      <rPr>
        <vertAlign val="superscript"/>
        <sz val="10"/>
        <rFont val="Arial"/>
        <family val="2"/>
      </rPr>
      <t>-1</t>
    </r>
  </si>
  <si>
    <r>
      <t>M</t>
    </r>
    <r>
      <rPr>
        <vertAlign val="subscript"/>
        <sz val="10"/>
        <rFont val="Arial"/>
        <family val="2"/>
      </rPr>
      <t>Sı max</t>
    </r>
  </si>
  <si>
    <r>
      <t xml:space="preserve">*)2 </t>
    </r>
    <r>
      <rPr>
        <b/>
        <sz val="10"/>
        <color indexed="57"/>
        <rFont val="Arial"/>
        <family val="2"/>
      </rPr>
      <t>Tablo 15</t>
    </r>
  </si>
  <si>
    <r>
      <t xml:space="preserve">Literatür </t>
    </r>
    <r>
      <rPr>
        <b/>
        <sz val="10"/>
        <color indexed="10"/>
        <rFont val="Arial"/>
        <family val="2"/>
      </rPr>
      <t xml:space="preserve"> *)3</t>
    </r>
  </si>
  <si>
    <r>
      <t>M</t>
    </r>
    <r>
      <rPr>
        <vertAlign val="subscript"/>
        <sz val="10"/>
        <rFont val="Arial"/>
        <family val="2"/>
      </rPr>
      <t>Sı min</t>
    </r>
  </si>
  <si>
    <r>
      <t>M</t>
    </r>
    <r>
      <rPr>
        <vertAlign val="subscript"/>
        <sz val="12"/>
        <rFont val="Arial"/>
        <family val="2"/>
      </rPr>
      <t>Sı</t>
    </r>
  </si>
  <si>
    <t>GGG40</t>
  </si>
  <si>
    <r>
      <t>D</t>
    </r>
    <r>
      <rPr>
        <sz val="10"/>
        <rFont val="Arial"/>
        <family val="2"/>
      </rPr>
      <t>M</t>
    </r>
    <r>
      <rPr>
        <vertAlign val="subscript"/>
        <sz val="12"/>
        <rFont val="Arial"/>
        <family val="2"/>
      </rPr>
      <t>Sı</t>
    </r>
  </si>
  <si>
    <r>
      <t>d</t>
    </r>
    <r>
      <rPr>
        <vertAlign val="subscript"/>
        <sz val="12"/>
        <rFont val="Arial"/>
        <family val="2"/>
      </rPr>
      <t xml:space="preserve">Ci </t>
    </r>
    <r>
      <rPr>
        <sz val="10"/>
        <rFont val="Arial"/>
        <family val="2"/>
      </rPr>
      <t>10</t>
    </r>
    <r>
      <rPr>
        <vertAlign val="superscript"/>
        <sz val="10"/>
        <rFont val="Arial"/>
        <family val="2"/>
      </rPr>
      <t>-3</t>
    </r>
    <r>
      <rPr>
        <sz val="10"/>
        <rFont val="Arial"/>
        <family val="2"/>
      </rPr>
      <t xml:space="preserve"> mm/N</t>
    </r>
  </si>
  <si>
    <r>
      <t>d</t>
    </r>
    <r>
      <rPr>
        <vertAlign val="subscript"/>
        <sz val="12"/>
        <rFont val="Arial"/>
        <family val="2"/>
      </rPr>
      <t xml:space="preserve">Ci İş </t>
    </r>
    <r>
      <rPr>
        <sz val="10"/>
        <rFont val="Arial"/>
        <family val="2"/>
      </rPr>
      <t>10</t>
    </r>
    <r>
      <rPr>
        <vertAlign val="superscript"/>
        <sz val="10"/>
        <rFont val="Arial"/>
        <family val="2"/>
      </rPr>
      <t>-3</t>
    </r>
    <r>
      <rPr>
        <sz val="10"/>
        <rFont val="Arial"/>
        <family val="2"/>
      </rPr>
      <t xml:space="preserve"> mm/N</t>
    </r>
  </si>
  <si>
    <r>
      <t>A</t>
    </r>
    <r>
      <rPr>
        <vertAlign val="subscript"/>
        <sz val="10"/>
        <rFont val="Arial"/>
        <family val="2"/>
      </rPr>
      <t>b</t>
    </r>
  </si>
  <si>
    <r>
      <t>T</t>
    </r>
    <r>
      <rPr>
        <vertAlign val="subscript"/>
        <sz val="12"/>
        <rFont val="Arial"/>
        <family val="2"/>
      </rPr>
      <t xml:space="preserve"> İş</t>
    </r>
  </si>
  <si>
    <r>
      <t>D</t>
    </r>
    <r>
      <rPr>
        <vertAlign val="subscript"/>
        <sz val="10"/>
        <rFont val="Arial"/>
        <family val="2"/>
      </rPr>
      <t>P-he</t>
    </r>
  </si>
  <si>
    <r>
      <t>p</t>
    </r>
    <r>
      <rPr>
        <vertAlign val="subscript"/>
        <sz val="10"/>
        <rFont val="Arial"/>
        <family val="2"/>
      </rPr>
      <t>M</t>
    </r>
  </si>
  <si>
    <r>
      <t>E</t>
    </r>
    <r>
      <rPr>
        <vertAlign val="subscript"/>
        <sz val="12"/>
        <rFont val="Arial"/>
        <family val="2"/>
      </rPr>
      <t>din İş</t>
    </r>
  </si>
  <si>
    <r>
      <t>D</t>
    </r>
    <r>
      <rPr>
        <vertAlign val="subscript"/>
        <sz val="12"/>
        <rFont val="Arial"/>
        <family val="2"/>
      </rPr>
      <t>P</t>
    </r>
  </si>
  <si>
    <r>
      <t xml:space="preserve">d </t>
    </r>
    <r>
      <rPr>
        <vertAlign val="subscript"/>
        <sz val="10"/>
        <rFont val="Arial"/>
        <family val="2"/>
      </rPr>
      <t>P</t>
    </r>
    <r>
      <rPr>
        <vertAlign val="subscript"/>
        <sz val="12"/>
        <rFont val="Arial"/>
        <family val="2"/>
      </rPr>
      <t xml:space="preserve"> </t>
    </r>
    <r>
      <rPr>
        <sz val="10"/>
        <rFont val="Arial"/>
        <family val="2"/>
      </rPr>
      <t>10</t>
    </r>
    <r>
      <rPr>
        <vertAlign val="superscript"/>
        <sz val="10"/>
        <rFont val="Arial"/>
        <family val="2"/>
      </rPr>
      <t>-3</t>
    </r>
    <r>
      <rPr>
        <sz val="10"/>
        <rFont val="Arial"/>
        <family val="2"/>
      </rPr>
      <t xml:space="preserve"> mm/N</t>
    </r>
  </si>
  <si>
    <r>
      <t xml:space="preserve">d </t>
    </r>
    <r>
      <rPr>
        <vertAlign val="subscript"/>
        <sz val="10"/>
        <rFont val="Arial"/>
        <family val="2"/>
      </rPr>
      <t>P İş</t>
    </r>
    <r>
      <rPr>
        <vertAlign val="subscript"/>
        <sz val="12"/>
        <rFont val="Arial"/>
        <family val="2"/>
      </rPr>
      <t xml:space="preserve"> </t>
    </r>
    <r>
      <rPr>
        <sz val="10"/>
        <rFont val="Arial"/>
        <family val="2"/>
      </rPr>
      <t>10</t>
    </r>
    <r>
      <rPr>
        <vertAlign val="superscript"/>
        <sz val="10"/>
        <rFont val="Arial"/>
        <family val="2"/>
      </rPr>
      <t>-3</t>
    </r>
    <r>
      <rPr>
        <sz val="10"/>
        <rFont val="Arial"/>
        <family val="2"/>
      </rPr>
      <t xml:space="preserve"> mm/N</t>
    </r>
  </si>
  <si>
    <r>
      <t xml:space="preserve">p </t>
    </r>
    <r>
      <rPr>
        <vertAlign val="subscript"/>
        <sz val="12"/>
        <rFont val="Arial"/>
        <family val="2"/>
      </rPr>
      <t>İş</t>
    </r>
  </si>
  <si>
    <r>
      <t>f</t>
    </r>
    <r>
      <rPr>
        <vertAlign val="subscript"/>
        <sz val="12"/>
        <rFont val="Arial"/>
        <family val="2"/>
      </rPr>
      <t xml:space="preserve"> İş </t>
    </r>
  </si>
  <si>
    <r>
      <t>D</t>
    </r>
    <r>
      <rPr>
        <sz val="10"/>
        <rFont val="Arial"/>
        <family val="2"/>
      </rPr>
      <t xml:space="preserve">L </t>
    </r>
    <r>
      <rPr>
        <vertAlign val="subscript"/>
        <sz val="12"/>
        <rFont val="Arial"/>
        <family val="2"/>
      </rPr>
      <t>Isı</t>
    </r>
  </si>
  <si>
    <r>
      <t>D</t>
    </r>
    <r>
      <rPr>
        <sz val="10"/>
        <rFont val="Arial"/>
        <family val="2"/>
      </rPr>
      <t>F</t>
    </r>
    <r>
      <rPr>
        <vertAlign val="subscript"/>
        <sz val="12"/>
        <rFont val="Arial"/>
        <family val="2"/>
      </rPr>
      <t>Isı</t>
    </r>
  </si>
  <si>
    <t>a</t>
  </si>
  <si>
    <r>
      <t>F</t>
    </r>
    <r>
      <rPr>
        <vertAlign val="subscript"/>
        <sz val="12"/>
        <rFont val="Arial"/>
        <family val="2"/>
      </rPr>
      <t>Sı FE</t>
    </r>
  </si>
  <si>
    <r>
      <t>VI.F</t>
    </r>
    <r>
      <rPr>
        <vertAlign val="subscript"/>
        <sz val="12"/>
        <rFont val="Arial"/>
        <family val="2"/>
      </rPr>
      <t>Sımin</t>
    </r>
    <r>
      <rPr>
        <sz val="10"/>
        <rFont val="Arial"/>
        <family val="2"/>
      </rPr>
      <t>/F</t>
    </r>
    <r>
      <rPr>
        <vertAlign val="subscript"/>
        <sz val="12"/>
        <rFont val="Arial"/>
        <family val="2"/>
      </rPr>
      <t>Sıİş</t>
    </r>
  </si>
  <si>
    <r>
      <t>I</t>
    </r>
    <r>
      <rPr>
        <vertAlign val="subscript"/>
        <sz val="10"/>
        <rFont val="Arial"/>
        <family val="2"/>
      </rPr>
      <t>K</t>
    </r>
    <r>
      <rPr>
        <sz val="10"/>
        <rFont val="Arial"/>
        <family val="2"/>
      </rPr>
      <t>=</t>
    </r>
  </si>
  <si>
    <t>u</t>
  </si>
  <si>
    <r>
      <t>F</t>
    </r>
    <r>
      <rPr>
        <vertAlign val="subscript"/>
        <sz val="12"/>
        <rFont val="Arial"/>
        <family val="2"/>
      </rPr>
      <t>ÖNM max</t>
    </r>
  </si>
  <si>
    <r>
      <t>F</t>
    </r>
    <r>
      <rPr>
        <vertAlign val="subscript"/>
        <sz val="12"/>
        <rFont val="Arial"/>
        <family val="2"/>
      </rPr>
      <t>Sı 2</t>
    </r>
  </si>
  <si>
    <r>
      <t>a</t>
    </r>
    <r>
      <rPr>
        <vertAlign val="subscript"/>
        <sz val="10"/>
        <rFont val="Arial"/>
        <family val="2"/>
      </rPr>
      <t>Te</t>
    </r>
  </si>
  <si>
    <r>
      <t>F</t>
    </r>
    <r>
      <rPr>
        <vertAlign val="subscript"/>
        <sz val="12"/>
        <rFont val="Arial"/>
        <family val="2"/>
      </rPr>
      <t>Sı İşGER</t>
    </r>
  </si>
  <si>
    <r>
      <t>b</t>
    </r>
    <r>
      <rPr>
        <vertAlign val="subscript"/>
        <sz val="10"/>
        <rFont val="Arial"/>
        <family val="2"/>
      </rPr>
      <t>PCi</t>
    </r>
    <r>
      <rPr>
        <sz val="10"/>
        <rFont val="Arial"/>
        <family val="2"/>
      </rPr>
      <t xml:space="preserve"> =</t>
    </r>
  </si>
  <si>
    <r>
      <t>k</t>
    </r>
    <r>
      <rPr>
        <vertAlign val="subscript"/>
        <sz val="10"/>
        <rFont val="Arial"/>
        <family val="2"/>
      </rPr>
      <t>B</t>
    </r>
    <r>
      <rPr>
        <vertAlign val="superscript"/>
        <sz val="10"/>
        <rFont val="Arial"/>
        <family val="2"/>
      </rPr>
      <t>2</t>
    </r>
  </si>
  <si>
    <r>
      <t>p</t>
    </r>
    <r>
      <rPr>
        <vertAlign val="subscript"/>
        <sz val="12"/>
        <rFont val="Arial"/>
        <family val="2"/>
      </rPr>
      <t>İş</t>
    </r>
  </si>
  <si>
    <r>
      <t xml:space="preserve">s </t>
    </r>
    <r>
      <rPr>
        <sz val="10"/>
        <rFont val="Arial"/>
        <family val="2"/>
      </rPr>
      <t>çeİş</t>
    </r>
  </si>
  <si>
    <r>
      <t xml:space="preserve">VII. </t>
    </r>
    <r>
      <rPr>
        <sz val="10"/>
        <rFont val="Symbol"/>
        <family val="1"/>
      </rPr>
      <t>s</t>
    </r>
    <r>
      <rPr>
        <vertAlign val="subscript"/>
        <sz val="12"/>
        <rFont val="Arial"/>
        <family val="2"/>
      </rPr>
      <t>DEĞ</t>
    </r>
    <r>
      <rPr>
        <sz val="10"/>
        <rFont val="Arial"/>
        <family val="2"/>
      </rPr>
      <t xml:space="preserve"> / </t>
    </r>
    <r>
      <rPr>
        <sz val="10"/>
        <rFont val="Symbol"/>
        <family val="1"/>
      </rPr>
      <t>s</t>
    </r>
    <r>
      <rPr>
        <vertAlign val="subscript"/>
        <sz val="12"/>
        <rFont val="Arial"/>
        <family val="2"/>
      </rPr>
      <t>biİşhy</t>
    </r>
  </si>
  <si>
    <t>(a - s)</t>
  </si>
  <si>
    <t>Fek max</t>
  </si>
  <si>
    <r>
      <t>s</t>
    </r>
    <r>
      <rPr>
        <sz val="10"/>
        <rFont val="Arial"/>
        <family val="2"/>
      </rPr>
      <t>eğhy</t>
    </r>
  </si>
  <si>
    <r>
      <t>F</t>
    </r>
    <r>
      <rPr>
        <vertAlign val="subscript"/>
        <sz val="12"/>
        <rFont val="Arial"/>
        <family val="2"/>
      </rPr>
      <t>P max</t>
    </r>
  </si>
  <si>
    <r>
      <t>s</t>
    </r>
    <r>
      <rPr>
        <sz val="10"/>
        <rFont val="Arial"/>
        <family val="2"/>
      </rPr>
      <t>biİşhy</t>
    </r>
  </si>
  <si>
    <r>
      <t>s</t>
    </r>
    <r>
      <rPr>
        <vertAlign val="subscript"/>
        <sz val="12"/>
        <rFont val="Arial"/>
        <family val="2"/>
      </rPr>
      <t>geğ</t>
    </r>
  </si>
  <si>
    <r>
      <t>d</t>
    </r>
    <r>
      <rPr>
        <vertAlign val="subscript"/>
        <sz val="10"/>
        <rFont val="Arial"/>
        <family val="2"/>
      </rPr>
      <t>V</t>
    </r>
    <r>
      <rPr>
        <sz val="10"/>
        <rFont val="Arial"/>
        <family val="2"/>
      </rPr>
      <t xml:space="preserve"> =</t>
    </r>
  </si>
  <si>
    <t>Mon/İşl</t>
  </si>
  <si>
    <r>
      <t>d</t>
    </r>
    <r>
      <rPr>
        <vertAlign val="subscript"/>
        <sz val="10"/>
        <rFont val="Arial"/>
        <family val="2"/>
      </rPr>
      <t>VS</t>
    </r>
    <r>
      <rPr>
        <sz val="10"/>
        <rFont val="Arial"/>
        <family val="2"/>
      </rPr>
      <t xml:space="preserve"> =</t>
    </r>
  </si>
  <si>
    <t>Mont/Betr</t>
  </si>
  <si>
    <r>
      <t>d</t>
    </r>
    <r>
      <rPr>
        <vertAlign val="subscript"/>
        <sz val="10"/>
        <rFont val="Arial"/>
        <family val="2"/>
      </rPr>
      <t>So</t>
    </r>
    <r>
      <rPr>
        <sz val="10"/>
        <rFont val="Arial"/>
        <family val="2"/>
      </rPr>
      <t xml:space="preserve"> =</t>
    </r>
  </si>
  <si>
    <r>
      <t>d</t>
    </r>
    <r>
      <rPr>
        <vertAlign val="subscript"/>
        <sz val="10"/>
        <rFont val="Arial"/>
        <family val="2"/>
      </rPr>
      <t>C</t>
    </r>
    <r>
      <rPr>
        <sz val="10"/>
        <rFont val="Arial"/>
        <family val="2"/>
      </rPr>
      <t xml:space="preserve"> =</t>
    </r>
  </si>
  <si>
    <r>
      <t>D</t>
    </r>
    <r>
      <rPr>
        <sz val="10"/>
        <rFont val="Arial"/>
        <family val="2"/>
      </rPr>
      <t>L</t>
    </r>
    <r>
      <rPr>
        <vertAlign val="subscript"/>
        <sz val="12"/>
        <rFont val="Arial"/>
        <family val="2"/>
      </rPr>
      <t>CiT</t>
    </r>
  </si>
  <si>
    <r>
      <t>D</t>
    </r>
    <r>
      <rPr>
        <sz val="10"/>
        <rFont val="Arial"/>
        <family val="2"/>
      </rPr>
      <t>L</t>
    </r>
    <r>
      <rPr>
        <vertAlign val="subscript"/>
        <sz val="12"/>
        <rFont val="Arial"/>
        <family val="2"/>
      </rPr>
      <t>P</t>
    </r>
  </si>
  <si>
    <r>
      <t>D</t>
    </r>
    <r>
      <rPr>
        <sz val="10"/>
        <rFont val="Arial"/>
        <family val="2"/>
      </rPr>
      <t>L</t>
    </r>
    <r>
      <rPr>
        <vertAlign val="subscript"/>
        <sz val="10"/>
        <rFont val="Arial"/>
        <family val="2"/>
      </rPr>
      <t xml:space="preserve">Si </t>
    </r>
    <r>
      <rPr>
        <sz val="10"/>
        <rFont val="Arial"/>
        <family val="2"/>
      </rPr>
      <t>= DL</t>
    </r>
    <r>
      <rPr>
        <vertAlign val="subscript"/>
        <sz val="10"/>
        <rFont val="Arial"/>
        <family val="2"/>
      </rPr>
      <t xml:space="preserve">P </t>
    </r>
    <r>
      <rPr>
        <sz val="10"/>
        <rFont val="Symbol"/>
        <family val="1"/>
      </rPr>
      <t>-</t>
    </r>
    <r>
      <rPr>
        <sz val="10"/>
        <rFont val="Arial"/>
        <family val="2"/>
      </rPr>
      <t>DL</t>
    </r>
    <r>
      <rPr>
        <vertAlign val="subscript"/>
        <sz val="10"/>
        <rFont val="Arial"/>
        <family val="2"/>
      </rPr>
      <t xml:space="preserve">CiT </t>
    </r>
  </si>
  <si>
    <r>
      <t>d</t>
    </r>
    <r>
      <rPr>
        <vertAlign val="subscript"/>
        <sz val="12"/>
        <rFont val="Arial"/>
        <family val="2"/>
      </rPr>
      <t>VS</t>
    </r>
    <r>
      <rPr>
        <sz val="10"/>
        <rFont val="Arial"/>
        <family val="2"/>
      </rPr>
      <t xml:space="preserve"> =</t>
    </r>
  </si>
  <si>
    <r>
      <t>d</t>
    </r>
    <r>
      <rPr>
        <vertAlign val="subscript"/>
        <sz val="12"/>
        <rFont val="Arial"/>
        <family val="2"/>
      </rPr>
      <t>So</t>
    </r>
    <r>
      <rPr>
        <sz val="10"/>
        <rFont val="Arial"/>
        <family val="2"/>
      </rPr>
      <t xml:space="preserve"> =</t>
    </r>
  </si>
  <si>
    <t>GEVŞEME</t>
  </si>
  <si>
    <r>
      <t>d</t>
    </r>
    <r>
      <rPr>
        <vertAlign val="subscript"/>
        <sz val="12"/>
        <rFont val="Arial"/>
        <family val="2"/>
      </rPr>
      <t>C</t>
    </r>
    <r>
      <rPr>
        <sz val="10"/>
        <rFont val="Arial"/>
        <family val="2"/>
      </rPr>
      <t xml:space="preserve"> =</t>
    </r>
  </si>
  <si>
    <t>LOCKER</t>
  </si>
  <si>
    <t>SLACK</t>
  </si>
  <si>
    <t>0.5/0.4</t>
  </si>
  <si>
    <t>0.5/0.33</t>
  </si>
  <si>
    <r>
      <t>d</t>
    </r>
    <r>
      <rPr>
        <vertAlign val="subscript"/>
        <sz val="10"/>
        <color indexed="10"/>
        <rFont val="Arial"/>
        <family val="2"/>
      </rPr>
      <t>P</t>
    </r>
    <r>
      <rPr>
        <sz val="10"/>
        <color indexed="10"/>
        <rFont val="Arial"/>
        <family val="2"/>
      </rPr>
      <t xml:space="preserve"> =</t>
    </r>
  </si>
  <si>
    <r>
      <t xml:space="preserve">f </t>
    </r>
    <r>
      <rPr>
        <b/>
        <sz val="10"/>
        <color indexed="10"/>
        <rFont val="Arial"/>
        <family val="2"/>
      </rPr>
      <t>=</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</si>
  <si>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</si>
  <si>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</si>
  <si>
    <r>
      <t>s</t>
    </r>
    <r>
      <rPr>
        <vertAlign val="subscript"/>
        <sz val="12"/>
        <rFont val="Arial"/>
        <family val="2"/>
      </rPr>
      <t>eg</t>
    </r>
    <r>
      <rPr>
        <sz val="10"/>
        <rFont val="Arial"/>
        <family val="2"/>
      </rPr>
      <t xml:space="preserve"> = </t>
    </r>
  </si>
  <si>
    <r>
      <t>b</t>
    </r>
    <r>
      <rPr>
        <vertAlign val="subscript"/>
        <sz val="10"/>
        <rFont val="Arial"/>
        <family val="2"/>
      </rPr>
      <t>S</t>
    </r>
    <r>
      <rPr>
        <sz val="10"/>
        <rFont val="Arial"/>
        <family val="2"/>
      </rPr>
      <t xml:space="preserve"> =</t>
    </r>
  </si>
  <si>
    <r>
      <t>b</t>
    </r>
    <r>
      <rPr>
        <vertAlign val="subscript"/>
        <sz val="10"/>
        <rFont val="Arial"/>
        <family val="2"/>
      </rPr>
      <t>V</t>
    </r>
    <r>
      <rPr>
        <sz val="10"/>
        <rFont val="Arial"/>
        <family val="2"/>
      </rPr>
      <t xml:space="preserve"> =</t>
    </r>
  </si>
  <si>
    <r>
      <t>b</t>
    </r>
    <r>
      <rPr>
        <vertAlign val="subscript"/>
        <sz val="12"/>
        <rFont val="Arial"/>
        <family val="2"/>
      </rPr>
      <t>GM</t>
    </r>
    <r>
      <rPr>
        <sz val="10"/>
        <rFont val="Arial"/>
        <family val="2"/>
      </rPr>
      <t xml:space="preserve"> =</t>
    </r>
  </si>
  <si>
    <r>
      <t>b</t>
    </r>
    <r>
      <rPr>
        <vertAlign val="subscript"/>
        <sz val="10"/>
        <color indexed="10"/>
        <rFont val="Arial"/>
        <family val="2"/>
      </rPr>
      <t>Ci</t>
    </r>
    <r>
      <rPr>
        <sz val="10"/>
        <color indexed="10"/>
        <rFont val="Arial"/>
        <family val="2"/>
      </rPr>
      <t xml:space="preserve"> =</t>
    </r>
  </si>
  <si>
    <r>
      <t>A</t>
    </r>
    <r>
      <rPr>
        <vertAlign val="subscript"/>
        <sz val="10"/>
        <rFont val="Arial"/>
        <family val="2"/>
      </rPr>
      <t>min</t>
    </r>
  </si>
  <si>
    <r>
      <t>A</t>
    </r>
    <r>
      <rPr>
        <vertAlign val="subscript"/>
        <sz val="10"/>
        <rFont val="Arial"/>
        <family val="2"/>
      </rPr>
      <t>GE</t>
    </r>
  </si>
  <si>
    <r>
      <t>F</t>
    </r>
    <r>
      <rPr>
        <vertAlign val="subscript"/>
        <sz val="12"/>
        <rFont val="Arial"/>
        <family val="2"/>
      </rPr>
      <t>Sı</t>
    </r>
  </si>
  <si>
    <t>12.9</t>
  </si>
  <si>
    <r>
      <t>R</t>
    </r>
    <r>
      <rPr>
        <vertAlign val="subscript"/>
        <sz val="12"/>
        <rFont val="Arial"/>
        <family val="2"/>
      </rPr>
      <t>m</t>
    </r>
  </si>
  <si>
    <r>
      <t>M</t>
    </r>
    <r>
      <rPr>
        <vertAlign val="subscript"/>
        <sz val="12"/>
        <rFont val="Arial"/>
        <family val="2"/>
      </rPr>
      <t xml:space="preserve">Sı max </t>
    </r>
  </si>
  <si>
    <r>
      <t>s</t>
    </r>
    <r>
      <rPr>
        <vertAlign val="subscript"/>
        <sz val="12"/>
        <rFont val="Arial"/>
        <family val="2"/>
      </rPr>
      <t>çeİş</t>
    </r>
  </si>
  <si>
    <r>
      <t>R</t>
    </r>
    <r>
      <rPr>
        <vertAlign val="subscript"/>
        <sz val="12"/>
        <rFont val="Arial"/>
        <family val="2"/>
      </rPr>
      <t>e</t>
    </r>
  </si>
  <si>
    <t>Tablo 16</t>
  </si>
  <si>
    <r>
      <t>d</t>
    </r>
    <r>
      <rPr>
        <vertAlign val="subscript"/>
        <sz val="12"/>
        <rFont val="Arial"/>
        <family val="2"/>
      </rPr>
      <t>Ci</t>
    </r>
    <r>
      <rPr>
        <sz val="12"/>
        <rFont val="Arial"/>
        <family val="2"/>
      </rPr>
      <t xml:space="preserve">   </t>
    </r>
    <r>
      <rPr>
        <sz val="10"/>
        <rFont val="Arial"/>
        <family val="2"/>
      </rPr>
      <t>10</t>
    </r>
    <r>
      <rPr>
        <vertAlign val="superscript"/>
        <sz val="12"/>
        <rFont val="Arial"/>
        <family val="2"/>
      </rPr>
      <t xml:space="preserve">-3 </t>
    </r>
    <r>
      <rPr>
        <sz val="10"/>
        <rFont val="Arial"/>
        <family val="2"/>
      </rPr>
      <t>mm/N</t>
    </r>
  </si>
  <si>
    <t>c45</t>
  </si>
  <si>
    <r>
      <t>d</t>
    </r>
    <r>
      <rPr>
        <vertAlign val="subscript"/>
        <sz val="12"/>
        <rFont val="Arial"/>
        <family val="2"/>
      </rPr>
      <t>Ciİş</t>
    </r>
    <r>
      <rPr>
        <sz val="12"/>
        <rFont val="Arial"/>
        <family val="2"/>
      </rPr>
      <t xml:space="preserve"> </t>
    </r>
    <r>
      <rPr>
        <sz val="10"/>
        <rFont val="Arial"/>
        <family val="2"/>
      </rPr>
      <t>10</t>
    </r>
    <r>
      <rPr>
        <vertAlign val="superscript"/>
        <sz val="12"/>
        <rFont val="Arial"/>
        <family val="2"/>
      </rPr>
      <t xml:space="preserve">-3 </t>
    </r>
    <r>
      <rPr>
        <sz val="10"/>
        <rFont val="Arial"/>
        <family val="2"/>
      </rPr>
      <t>mm/N</t>
    </r>
  </si>
  <si>
    <r>
      <t>s</t>
    </r>
    <r>
      <rPr>
        <vertAlign val="subscript"/>
        <sz val="12"/>
        <rFont val="Arial"/>
        <family val="2"/>
      </rPr>
      <t>M</t>
    </r>
  </si>
  <si>
    <r>
      <t>n</t>
    </r>
    <r>
      <rPr>
        <sz val="10"/>
        <rFont val="Arial"/>
        <family val="2"/>
      </rPr>
      <t xml:space="preserve"> =0,9 ile</t>
    </r>
  </si>
  <si>
    <r>
      <t>D</t>
    </r>
    <r>
      <rPr>
        <vertAlign val="subscript"/>
        <sz val="12"/>
        <rFont val="Arial"/>
        <family val="2"/>
      </rPr>
      <t xml:space="preserve">P-he </t>
    </r>
  </si>
  <si>
    <r>
      <t>s</t>
    </r>
    <r>
      <rPr>
        <vertAlign val="subscript"/>
        <sz val="12"/>
        <rFont val="Arial"/>
        <family val="2"/>
      </rPr>
      <t xml:space="preserve"> çe İş</t>
    </r>
  </si>
  <si>
    <r>
      <t>d</t>
    </r>
    <r>
      <rPr>
        <vertAlign val="subscript"/>
        <sz val="12"/>
        <rFont val="Arial"/>
        <family val="2"/>
      </rPr>
      <t xml:space="preserve">P    </t>
    </r>
    <r>
      <rPr>
        <sz val="10"/>
        <rFont val="Arial"/>
        <family val="2"/>
      </rPr>
      <t>10</t>
    </r>
    <r>
      <rPr>
        <vertAlign val="superscript"/>
        <sz val="12"/>
        <rFont val="Arial"/>
        <family val="2"/>
      </rPr>
      <t xml:space="preserve">-3 </t>
    </r>
    <r>
      <rPr>
        <sz val="10"/>
        <rFont val="Arial"/>
        <family val="2"/>
      </rPr>
      <t>mm/N</t>
    </r>
  </si>
  <si>
    <r>
      <t>s</t>
    </r>
    <r>
      <rPr>
        <vertAlign val="subscript"/>
        <sz val="12"/>
        <rFont val="Arial"/>
        <family val="2"/>
      </rPr>
      <t>biİşhy</t>
    </r>
  </si>
  <si>
    <r>
      <t>d</t>
    </r>
    <r>
      <rPr>
        <vertAlign val="subscript"/>
        <sz val="12"/>
        <rFont val="Arial"/>
        <family val="2"/>
      </rPr>
      <t xml:space="preserve">Pİş </t>
    </r>
    <r>
      <rPr>
        <sz val="10"/>
        <rFont val="Arial"/>
        <family val="2"/>
      </rPr>
      <t>10</t>
    </r>
    <r>
      <rPr>
        <vertAlign val="superscript"/>
        <sz val="12"/>
        <rFont val="Arial"/>
        <family val="2"/>
      </rPr>
      <t>-3</t>
    </r>
    <r>
      <rPr>
        <sz val="12"/>
        <rFont val="Arial"/>
        <family val="2"/>
      </rPr>
      <t xml:space="preserve"> </t>
    </r>
    <r>
      <rPr>
        <sz val="10"/>
        <rFont val="Arial"/>
        <family val="2"/>
      </rPr>
      <t>mm/N</t>
    </r>
  </si>
  <si>
    <r>
      <t>f</t>
    </r>
    <r>
      <rPr>
        <vertAlign val="subscript"/>
        <sz val="12"/>
        <rFont val="Arial"/>
        <family val="2"/>
      </rPr>
      <t>İş</t>
    </r>
  </si>
  <si>
    <r>
      <t>F</t>
    </r>
    <r>
      <rPr>
        <vertAlign val="subscript"/>
        <sz val="12"/>
        <rFont val="Arial"/>
        <family val="2"/>
      </rPr>
      <t>Sı İş min</t>
    </r>
  </si>
  <si>
    <r>
      <t>D</t>
    </r>
    <r>
      <rPr>
        <sz val="10"/>
        <rFont val="Arial"/>
        <family val="2"/>
      </rPr>
      <t>L</t>
    </r>
    <r>
      <rPr>
        <vertAlign val="subscript"/>
        <sz val="10"/>
        <rFont val="Arial"/>
        <family val="2"/>
      </rPr>
      <t>Si</t>
    </r>
  </si>
  <si>
    <r>
      <t>d</t>
    </r>
    <r>
      <rPr>
        <vertAlign val="subscript"/>
        <sz val="10"/>
        <rFont val="Arial"/>
        <family val="2"/>
      </rPr>
      <t>Ş1</t>
    </r>
    <r>
      <rPr>
        <sz val="10"/>
        <rFont val="Arial"/>
        <family val="2"/>
      </rPr>
      <t>+d</t>
    </r>
    <r>
      <rPr>
        <vertAlign val="subscript"/>
        <sz val="10"/>
        <rFont val="Arial"/>
        <family val="2"/>
      </rPr>
      <t>Ş3</t>
    </r>
    <r>
      <rPr>
        <sz val="10"/>
        <rFont val="Arial"/>
        <family val="2"/>
      </rPr>
      <t xml:space="preserve"> / L</t>
    </r>
    <r>
      <rPr>
        <vertAlign val="subscript"/>
        <sz val="10"/>
        <rFont val="Arial"/>
        <family val="2"/>
      </rPr>
      <t>1</t>
    </r>
    <r>
      <rPr>
        <sz val="10"/>
        <rFont val="Arial"/>
        <family val="2"/>
      </rPr>
      <t>+L</t>
    </r>
    <r>
      <rPr>
        <vertAlign val="subscript"/>
        <sz val="10"/>
        <rFont val="Arial"/>
        <family val="2"/>
      </rPr>
      <t>3</t>
    </r>
  </si>
  <si>
    <r>
      <t>d</t>
    </r>
    <r>
      <rPr>
        <vertAlign val="subscript"/>
        <sz val="10"/>
        <rFont val="Arial"/>
        <family val="2"/>
      </rPr>
      <t>Ş2</t>
    </r>
    <r>
      <rPr>
        <sz val="10"/>
        <rFont val="Arial"/>
        <family val="2"/>
      </rPr>
      <t>+d</t>
    </r>
    <r>
      <rPr>
        <vertAlign val="subscript"/>
        <sz val="10"/>
        <rFont val="Arial"/>
        <family val="2"/>
      </rPr>
      <t>Ş4</t>
    </r>
    <r>
      <rPr>
        <sz val="10"/>
        <rFont val="Arial"/>
        <family val="2"/>
      </rPr>
      <t xml:space="preserve"> / L</t>
    </r>
    <r>
      <rPr>
        <vertAlign val="subscript"/>
        <sz val="10"/>
        <rFont val="Arial"/>
        <family val="2"/>
      </rPr>
      <t>2</t>
    </r>
    <r>
      <rPr>
        <sz val="10"/>
        <rFont val="Arial"/>
        <family val="2"/>
      </rPr>
      <t>+L</t>
    </r>
    <r>
      <rPr>
        <vertAlign val="subscript"/>
        <sz val="10"/>
        <rFont val="Arial"/>
        <family val="2"/>
      </rPr>
      <t>4</t>
    </r>
  </si>
  <si>
    <r>
      <t>F</t>
    </r>
    <r>
      <rPr>
        <vertAlign val="subscript"/>
        <sz val="12"/>
        <rFont val="Arial"/>
        <family val="2"/>
      </rPr>
      <t xml:space="preserve">ÖNM max      </t>
    </r>
  </si>
  <si>
    <r>
      <t>d</t>
    </r>
    <r>
      <rPr>
        <vertAlign val="subscript"/>
        <sz val="10"/>
        <rFont val="Arial"/>
        <family val="2"/>
      </rPr>
      <t>Ş5</t>
    </r>
    <r>
      <rPr>
        <sz val="10"/>
        <rFont val="Arial"/>
        <family val="2"/>
      </rPr>
      <t xml:space="preserve"> / L</t>
    </r>
    <r>
      <rPr>
        <vertAlign val="subscript"/>
        <sz val="10"/>
        <rFont val="Arial"/>
        <family val="2"/>
      </rPr>
      <t>5</t>
    </r>
  </si>
  <si>
    <r>
      <t>d</t>
    </r>
    <r>
      <rPr>
        <vertAlign val="subscript"/>
        <sz val="12"/>
        <rFont val="Arial"/>
        <family val="2"/>
      </rPr>
      <t>min</t>
    </r>
    <r>
      <rPr>
        <sz val="10"/>
        <rFont val="Arial"/>
        <family val="2"/>
      </rPr>
      <t xml:space="preserve"> - L</t>
    </r>
    <r>
      <rPr>
        <vertAlign val="subscript"/>
        <sz val="12"/>
        <rFont val="Arial"/>
        <family val="2"/>
      </rPr>
      <t>Sı</t>
    </r>
  </si>
  <si>
    <r>
      <t xml:space="preserve">V. </t>
    </r>
    <r>
      <rPr>
        <sz val="10"/>
        <rFont val="Symbol"/>
        <family val="1"/>
      </rPr>
      <t xml:space="preserve"> s</t>
    </r>
    <r>
      <rPr>
        <vertAlign val="subscript"/>
        <sz val="12"/>
        <rFont val="Arial"/>
        <family val="2"/>
      </rPr>
      <t>G</t>
    </r>
    <r>
      <rPr>
        <vertAlign val="subscript"/>
        <sz val="10"/>
        <rFont val="Arial"/>
        <family val="2"/>
      </rPr>
      <t xml:space="preserve"> </t>
    </r>
    <r>
      <rPr>
        <sz val="10"/>
        <rFont val="Arial"/>
        <family val="2"/>
      </rPr>
      <t xml:space="preserve">/ </t>
    </r>
    <r>
      <rPr>
        <sz val="10"/>
        <rFont val="Symbol"/>
        <family val="1"/>
      </rPr>
      <t>s</t>
    </r>
    <r>
      <rPr>
        <vertAlign val="subscript"/>
        <sz val="12"/>
        <rFont val="Arial"/>
        <family val="2"/>
      </rPr>
      <t>g</t>
    </r>
  </si>
  <si>
    <r>
      <t>VI. F</t>
    </r>
    <r>
      <rPr>
        <vertAlign val="subscript"/>
        <sz val="12"/>
        <rFont val="Arial"/>
        <family val="2"/>
      </rPr>
      <t>Sı min</t>
    </r>
    <r>
      <rPr>
        <sz val="10"/>
        <rFont val="Arial"/>
        <family val="2"/>
      </rPr>
      <t xml:space="preserve"> / F</t>
    </r>
    <r>
      <rPr>
        <vertAlign val="subscript"/>
        <sz val="12"/>
        <rFont val="Arial"/>
        <family val="2"/>
      </rPr>
      <t>Sı İş</t>
    </r>
  </si>
  <si>
    <r>
      <t>m</t>
    </r>
    <r>
      <rPr>
        <vertAlign val="subscript"/>
        <sz val="12"/>
        <rFont val="Arial"/>
        <family val="2"/>
      </rPr>
      <t>V i</t>
    </r>
    <r>
      <rPr>
        <sz val="12"/>
        <rFont val="Arial"/>
        <family val="2"/>
      </rPr>
      <t xml:space="preserve"> /  </t>
    </r>
    <r>
      <rPr>
        <sz val="12"/>
        <rFont val="Symbol"/>
        <family val="1"/>
      </rPr>
      <t>r</t>
    </r>
    <r>
      <rPr>
        <vertAlign val="subscript"/>
        <sz val="12"/>
        <rFont val="Arial"/>
        <family val="2"/>
      </rPr>
      <t>V i</t>
    </r>
  </si>
  <si>
    <r>
      <t xml:space="preserve">m </t>
    </r>
    <r>
      <rPr>
        <vertAlign val="subscript"/>
        <sz val="12"/>
        <rFont val="Arial"/>
        <family val="2"/>
      </rPr>
      <t>K</t>
    </r>
    <r>
      <rPr>
        <sz val="12"/>
        <rFont val="Arial"/>
        <family val="2"/>
      </rPr>
      <t xml:space="preserve"> /  </t>
    </r>
    <r>
      <rPr>
        <sz val="12"/>
        <rFont val="Symbol"/>
        <family val="1"/>
      </rPr>
      <t xml:space="preserve">r </t>
    </r>
    <r>
      <rPr>
        <vertAlign val="subscript"/>
        <sz val="12"/>
        <rFont val="Arial"/>
        <family val="2"/>
      </rPr>
      <t>K</t>
    </r>
  </si>
  <si>
    <r>
      <t xml:space="preserve">d </t>
    </r>
    <r>
      <rPr>
        <vertAlign val="subscript"/>
        <sz val="10"/>
        <rFont val="Arial"/>
        <family val="2"/>
      </rPr>
      <t>K</t>
    </r>
    <r>
      <rPr>
        <sz val="10"/>
        <rFont val="Arial"/>
        <family val="2"/>
      </rPr>
      <t xml:space="preserve"> =</t>
    </r>
  </si>
  <si>
    <r>
      <t xml:space="preserve">d </t>
    </r>
    <r>
      <rPr>
        <vertAlign val="subscript"/>
        <sz val="10"/>
        <rFont val="Arial"/>
        <family val="2"/>
      </rPr>
      <t>1+3</t>
    </r>
    <r>
      <rPr>
        <sz val="10"/>
        <rFont val="Arial"/>
        <family val="2"/>
      </rPr>
      <t xml:space="preserve"> =</t>
    </r>
  </si>
  <si>
    <r>
      <t xml:space="preserve">d </t>
    </r>
    <r>
      <rPr>
        <vertAlign val="subscript"/>
        <sz val="10"/>
        <rFont val="Arial"/>
        <family val="2"/>
      </rPr>
      <t>2+4</t>
    </r>
    <r>
      <rPr>
        <sz val="10"/>
        <rFont val="Arial"/>
        <family val="2"/>
      </rPr>
      <t xml:space="preserve"> =</t>
    </r>
  </si>
  <si>
    <r>
      <t xml:space="preserve">d </t>
    </r>
    <r>
      <rPr>
        <vertAlign val="subscript"/>
        <sz val="10"/>
        <rFont val="Arial"/>
        <family val="2"/>
      </rPr>
      <t>5</t>
    </r>
    <r>
      <rPr>
        <sz val="10"/>
        <rFont val="Arial"/>
        <family val="2"/>
      </rPr>
      <t xml:space="preserve"> =</t>
    </r>
  </si>
  <si>
    <r>
      <t xml:space="preserve">d </t>
    </r>
    <r>
      <rPr>
        <sz val="10"/>
        <rFont val="Arial"/>
        <family val="2"/>
      </rPr>
      <t>G =</t>
    </r>
  </si>
  <si>
    <r>
      <t xml:space="preserve">d </t>
    </r>
    <r>
      <rPr>
        <sz val="10"/>
        <rFont val="Arial"/>
        <family val="2"/>
      </rPr>
      <t>So =</t>
    </r>
  </si>
  <si>
    <r>
      <t xml:space="preserve">d </t>
    </r>
    <r>
      <rPr>
        <vertAlign val="subscript"/>
        <sz val="10"/>
        <rFont val="Arial"/>
        <family val="2"/>
      </rPr>
      <t>C</t>
    </r>
    <r>
      <rPr>
        <sz val="10"/>
        <rFont val="Arial"/>
        <family val="2"/>
      </rPr>
      <t xml:space="preserve"> =</t>
    </r>
  </si>
  <si>
    <r>
      <t xml:space="preserve">d </t>
    </r>
    <r>
      <rPr>
        <vertAlign val="subscript"/>
        <sz val="12"/>
        <rFont val="Arial"/>
        <family val="2"/>
      </rPr>
      <t>K</t>
    </r>
    <r>
      <rPr>
        <sz val="10"/>
        <rFont val="Arial"/>
        <family val="2"/>
      </rPr>
      <t xml:space="preserve"> =</t>
    </r>
  </si>
  <si>
    <r>
      <t xml:space="preserve">d </t>
    </r>
    <r>
      <rPr>
        <vertAlign val="subscript"/>
        <sz val="12"/>
        <rFont val="Arial"/>
        <family val="2"/>
      </rPr>
      <t>1+3</t>
    </r>
    <r>
      <rPr>
        <sz val="10"/>
        <rFont val="Arial"/>
        <family val="2"/>
      </rPr>
      <t xml:space="preserve"> =</t>
    </r>
  </si>
  <si>
    <r>
      <t xml:space="preserve">d </t>
    </r>
    <r>
      <rPr>
        <vertAlign val="subscript"/>
        <sz val="12"/>
        <rFont val="Arial"/>
        <family val="2"/>
      </rPr>
      <t>2+4</t>
    </r>
    <r>
      <rPr>
        <sz val="10"/>
        <rFont val="Arial"/>
        <family val="2"/>
      </rPr>
      <t xml:space="preserve"> =</t>
    </r>
  </si>
  <si>
    <r>
      <t xml:space="preserve">d </t>
    </r>
    <r>
      <rPr>
        <vertAlign val="subscript"/>
        <sz val="12"/>
        <rFont val="Arial"/>
        <family val="2"/>
      </rPr>
      <t>5</t>
    </r>
    <r>
      <rPr>
        <sz val="10"/>
        <rFont val="Arial"/>
        <family val="2"/>
      </rPr>
      <t xml:space="preserve"> =</t>
    </r>
  </si>
  <si>
    <r>
      <t xml:space="preserve">d </t>
    </r>
    <r>
      <rPr>
        <vertAlign val="subscript"/>
        <sz val="12"/>
        <rFont val="Arial"/>
        <family val="2"/>
      </rPr>
      <t>G</t>
    </r>
    <r>
      <rPr>
        <sz val="10"/>
        <rFont val="Arial"/>
        <family val="2"/>
      </rPr>
      <t xml:space="preserve"> =</t>
    </r>
  </si>
  <si>
    <r>
      <t xml:space="preserve">d </t>
    </r>
    <r>
      <rPr>
        <vertAlign val="subscript"/>
        <sz val="12"/>
        <rFont val="Arial"/>
        <family val="2"/>
      </rPr>
      <t>So</t>
    </r>
    <r>
      <rPr>
        <sz val="10"/>
        <rFont val="Arial"/>
        <family val="2"/>
      </rPr>
      <t xml:space="preserve"> =</t>
    </r>
  </si>
  <si>
    <r>
      <t xml:space="preserve">d </t>
    </r>
    <r>
      <rPr>
        <vertAlign val="subscript"/>
        <sz val="12"/>
        <rFont val="Arial"/>
        <family val="2"/>
      </rPr>
      <t>Cis</t>
    </r>
    <r>
      <rPr>
        <sz val="10"/>
        <rFont val="Arial"/>
        <family val="2"/>
      </rPr>
      <t xml:space="preserve"> =</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</si>
  <si>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r>
      <rPr>
        <sz val="12"/>
        <color indexed="10"/>
        <rFont val="Arial"/>
        <family val="2"/>
      </rPr>
      <t>=</t>
    </r>
  </si>
  <si>
    <r>
      <t xml:space="preserve">A </t>
    </r>
    <r>
      <rPr>
        <vertAlign val="subscript"/>
        <sz val="10"/>
        <rFont val="Arial"/>
        <family val="2"/>
      </rPr>
      <t>min</t>
    </r>
  </si>
  <si>
    <r>
      <t xml:space="preserve">A </t>
    </r>
    <r>
      <rPr>
        <vertAlign val="subscript"/>
        <sz val="10"/>
        <rFont val="Arial"/>
        <family val="2"/>
      </rPr>
      <t>1</t>
    </r>
    <r>
      <rPr>
        <sz val="10"/>
        <rFont val="Arial"/>
        <family val="2"/>
      </rPr>
      <t xml:space="preserve"> = A </t>
    </r>
    <r>
      <rPr>
        <vertAlign val="subscript"/>
        <sz val="12"/>
        <rFont val="Arial"/>
        <family val="2"/>
      </rPr>
      <t>Ş</t>
    </r>
  </si>
  <si>
    <r>
      <t xml:space="preserve">A </t>
    </r>
    <r>
      <rPr>
        <vertAlign val="subscript"/>
        <sz val="12"/>
        <rFont val="Arial"/>
        <family val="2"/>
      </rPr>
      <t>2</t>
    </r>
  </si>
  <si>
    <r>
      <t xml:space="preserve">d </t>
    </r>
    <r>
      <rPr>
        <vertAlign val="subscript"/>
        <sz val="12"/>
        <rFont val="Arial"/>
        <family val="2"/>
      </rPr>
      <t>3</t>
    </r>
  </si>
  <si>
    <r>
      <t xml:space="preserve">A </t>
    </r>
    <r>
      <rPr>
        <vertAlign val="subscript"/>
        <sz val="12"/>
        <rFont val="Arial"/>
        <family val="2"/>
      </rPr>
      <t>3</t>
    </r>
  </si>
  <si>
    <r>
      <t xml:space="preserve">W </t>
    </r>
    <r>
      <rPr>
        <vertAlign val="subscript"/>
        <sz val="12"/>
        <rFont val="Arial"/>
        <family val="2"/>
      </rPr>
      <t>eğ</t>
    </r>
  </si>
  <si>
    <r>
      <t>M</t>
    </r>
    <r>
      <rPr>
        <vertAlign val="subscript"/>
        <sz val="12"/>
        <rFont val="Arial"/>
        <family val="2"/>
      </rPr>
      <t xml:space="preserve">Sı max       </t>
    </r>
  </si>
  <si>
    <t>C 45</t>
  </si>
  <si>
    <t>C45</t>
  </si>
  <si>
    <r>
      <t>s</t>
    </r>
    <r>
      <rPr>
        <vertAlign val="subscript"/>
        <sz val="12"/>
        <rFont val="Arial"/>
        <family val="2"/>
      </rPr>
      <t>gtop</t>
    </r>
  </si>
  <si>
    <r>
      <t>s</t>
    </r>
    <r>
      <rPr>
        <vertAlign val="subscript"/>
        <sz val="12"/>
        <rFont val="Arial"/>
        <family val="2"/>
      </rPr>
      <t>eğhy</t>
    </r>
  </si>
  <si>
    <r>
      <t>d</t>
    </r>
    <r>
      <rPr>
        <vertAlign val="subscript"/>
        <sz val="10"/>
        <rFont val="Arial"/>
        <family val="2"/>
      </rPr>
      <t>Ş1</t>
    </r>
    <r>
      <rPr>
        <sz val="10"/>
        <rFont val="Arial"/>
        <family val="2"/>
      </rPr>
      <t xml:space="preserve"> / L</t>
    </r>
    <r>
      <rPr>
        <vertAlign val="subscript"/>
        <sz val="10"/>
        <rFont val="Arial"/>
        <family val="2"/>
      </rPr>
      <t>1</t>
    </r>
  </si>
  <si>
    <r>
      <t>d</t>
    </r>
    <r>
      <rPr>
        <vertAlign val="subscript"/>
        <sz val="10"/>
        <rFont val="Arial"/>
        <family val="2"/>
      </rPr>
      <t>Ş2</t>
    </r>
    <r>
      <rPr>
        <sz val="10"/>
        <rFont val="Arial"/>
        <family val="2"/>
      </rPr>
      <t xml:space="preserve"> / L</t>
    </r>
    <r>
      <rPr>
        <vertAlign val="subscript"/>
        <sz val="10"/>
        <rFont val="Arial"/>
        <family val="2"/>
      </rPr>
      <t>2</t>
    </r>
  </si>
  <si>
    <t>0.5/0.3</t>
  </si>
  <si>
    <r>
      <t>10</t>
    </r>
    <r>
      <rPr>
        <vertAlign val="superscript"/>
        <sz val="10"/>
        <rFont val="Arial"/>
        <family val="2"/>
      </rPr>
      <t>-6</t>
    </r>
  </si>
  <si>
    <r>
      <t>10</t>
    </r>
    <r>
      <rPr>
        <vertAlign val="superscript"/>
        <sz val="10"/>
        <rFont val="Arial"/>
        <family val="2"/>
      </rPr>
      <t>-3</t>
    </r>
  </si>
  <si>
    <r>
      <t xml:space="preserve">d </t>
    </r>
    <r>
      <rPr>
        <vertAlign val="subscript"/>
        <sz val="10"/>
        <color indexed="10"/>
        <rFont val="Arial"/>
        <family val="2"/>
      </rPr>
      <t>P</t>
    </r>
    <r>
      <rPr>
        <vertAlign val="superscript"/>
        <sz val="10"/>
        <color indexed="10"/>
        <rFont val="Arial"/>
        <family val="2"/>
      </rPr>
      <t>**</t>
    </r>
    <r>
      <rPr>
        <vertAlign val="subscript"/>
        <sz val="12"/>
        <color indexed="10"/>
        <rFont val="Arial"/>
        <family val="2"/>
      </rPr>
      <t xml:space="preserve"> </t>
    </r>
    <r>
      <rPr>
        <sz val="12"/>
        <color indexed="10"/>
        <rFont val="Arial"/>
        <family val="2"/>
      </rPr>
      <t>=</t>
    </r>
  </si>
  <si>
    <t>A)</t>
  </si>
  <si>
    <t>B)</t>
  </si>
  <si>
    <t>H</t>
  </si>
  <si>
    <r>
      <t>F</t>
    </r>
    <r>
      <rPr>
        <vertAlign val="subscript"/>
        <sz val="12"/>
        <rFont val="Arial"/>
        <family val="2"/>
      </rPr>
      <t>İŞ</t>
    </r>
  </si>
  <si>
    <r>
      <t>n</t>
    </r>
    <r>
      <rPr>
        <vertAlign val="subscript"/>
        <sz val="10"/>
        <rFont val="Arial"/>
        <family val="2"/>
      </rPr>
      <t>C</t>
    </r>
  </si>
  <si>
    <t>H, statik</t>
  </si>
  <si>
    <r>
      <t>t</t>
    </r>
    <r>
      <rPr>
        <vertAlign val="subscript"/>
        <sz val="12"/>
        <rFont val="Arial"/>
        <family val="2"/>
      </rPr>
      <t>min</t>
    </r>
  </si>
  <si>
    <r>
      <t>m</t>
    </r>
    <r>
      <rPr>
        <vertAlign val="subscript"/>
        <sz val="10"/>
        <rFont val="Arial"/>
        <family val="2"/>
      </rPr>
      <t>0</t>
    </r>
  </si>
  <si>
    <r>
      <t>S</t>
    </r>
    <r>
      <rPr>
        <vertAlign val="subscript"/>
        <sz val="10"/>
        <rFont val="Arial"/>
        <family val="2"/>
      </rPr>
      <t>Ka</t>
    </r>
  </si>
  <si>
    <t>Tablo 17, 18, 19</t>
  </si>
  <si>
    <t>St52-2</t>
  </si>
  <si>
    <r>
      <t>s</t>
    </r>
    <r>
      <rPr>
        <vertAlign val="subscript"/>
        <sz val="12"/>
        <rFont val="Arial"/>
        <family val="2"/>
      </rPr>
      <t>LEM</t>
    </r>
  </si>
  <si>
    <t>Tablo 17, 18, 19, 20</t>
  </si>
  <si>
    <r>
      <t>s</t>
    </r>
    <r>
      <rPr>
        <vertAlign val="subscript"/>
        <sz val="12"/>
        <rFont val="Arial"/>
        <family val="2"/>
      </rPr>
      <t>ÇEM</t>
    </r>
  </si>
  <si>
    <r>
      <t>F</t>
    </r>
    <r>
      <rPr>
        <vertAlign val="subscript"/>
        <sz val="12"/>
        <rFont val="Arial"/>
        <family val="2"/>
      </rPr>
      <t>ÖN GER</t>
    </r>
  </si>
  <si>
    <r>
      <t>t</t>
    </r>
    <r>
      <rPr>
        <vertAlign val="subscript"/>
        <sz val="12"/>
        <rFont val="Arial"/>
        <family val="2"/>
      </rPr>
      <t>KEM</t>
    </r>
  </si>
  <si>
    <r>
      <t>s</t>
    </r>
    <r>
      <rPr>
        <vertAlign val="subscript"/>
        <sz val="12"/>
        <rFont val="Arial"/>
        <family val="2"/>
      </rPr>
      <t>LHes</t>
    </r>
  </si>
  <si>
    <r>
      <t xml:space="preserve">d </t>
    </r>
    <r>
      <rPr>
        <vertAlign val="subscript"/>
        <sz val="12"/>
        <rFont val="Symbol"/>
        <family val="1"/>
      </rPr>
      <t>t</t>
    </r>
    <r>
      <rPr>
        <vertAlign val="subscript"/>
        <sz val="12"/>
        <rFont val="Arial"/>
        <family val="2"/>
      </rPr>
      <t>a</t>
    </r>
  </si>
  <si>
    <r>
      <t xml:space="preserve">d </t>
    </r>
    <r>
      <rPr>
        <vertAlign val="subscript"/>
        <sz val="12"/>
        <rFont val="Symbol"/>
        <family val="1"/>
      </rPr>
      <t>s</t>
    </r>
    <r>
      <rPr>
        <vertAlign val="subscript"/>
        <sz val="12"/>
        <rFont val="Arial"/>
        <family val="2"/>
      </rPr>
      <t>L</t>
    </r>
  </si>
  <si>
    <r>
      <t>F</t>
    </r>
    <r>
      <rPr>
        <vertAlign val="subscript"/>
        <sz val="12"/>
        <rFont val="Arial"/>
        <family val="2"/>
      </rPr>
      <t>ÖN</t>
    </r>
  </si>
  <si>
    <r>
      <t>s</t>
    </r>
    <r>
      <rPr>
        <vertAlign val="subscript"/>
        <sz val="12"/>
        <rFont val="Arial"/>
        <family val="2"/>
      </rPr>
      <t>ÇEM C</t>
    </r>
  </si>
  <si>
    <r>
      <t>d</t>
    </r>
    <r>
      <rPr>
        <vertAlign val="subscript"/>
        <sz val="10"/>
        <rFont val="Arial"/>
        <family val="2"/>
      </rPr>
      <t>G</t>
    </r>
  </si>
  <si>
    <r>
      <t>t</t>
    </r>
    <r>
      <rPr>
        <vertAlign val="subscript"/>
        <sz val="12"/>
        <rFont val="Arial"/>
        <family val="2"/>
      </rPr>
      <t>EM C</t>
    </r>
  </si>
  <si>
    <t>St 52-2</t>
  </si>
  <si>
    <r>
      <t>s</t>
    </r>
    <r>
      <rPr>
        <vertAlign val="subscript"/>
        <sz val="12"/>
        <rFont val="Arial"/>
        <family val="2"/>
      </rPr>
      <t>ÇEM P</t>
    </r>
  </si>
  <si>
    <r>
      <t>t</t>
    </r>
    <r>
      <rPr>
        <sz val="10"/>
        <rFont val="Arial"/>
        <family val="2"/>
      </rPr>
      <t xml:space="preserve"> </t>
    </r>
    <r>
      <rPr>
        <vertAlign val="subscript"/>
        <sz val="12"/>
        <rFont val="Arial"/>
        <family val="2"/>
      </rPr>
      <t>Ke</t>
    </r>
  </si>
  <si>
    <r>
      <t>s</t>
    </r>
    <r>
      <rPr>
        <sz val="10"/>
        <rFont val="Arial"/>
        <family val="2"/>
      </rPr>
      <t xml:space="preserve"> </t>
    </r>
    <r>
      <rPr>
        <vertAlign val="subscript"/>
        <sz val="12"/>
        <rFont val="Arial"/>
        <family val="2"/>
      </rPr>
      <t>L</t>
    </r>
  </si>
  <si>
    <r>
      <t>s</t>
    </r>
    <r>
      <rPr>
        <sz val="10"/>
        <rFont val="Arial"/>
        <family val="2"/>
      </rPr>
      <t xml:space="preserve"> </t>
    </r>
    <r>
      <rPr>
        <vertAlign val="subscript"/>
        <sz val="12"/>
        <rFont val="Arial"/>
        <family val="2"/>
      </rPr>
      <t>çe C</t>
    </r>
  </si>
  <si>
    <r>
      <t>s</t>
    </r>
    <r>
      <rPr>
        <sz val="10"/>
        <rFont val="Arial"/>
        <family val="2"/>
      </rPr>
      <t xml:space="preserve"> </t>
    </r>
    <r>
      <rPr>
        <vertAlign val="subscript"/>
        <sz val="12"/>
        <rFont val="Arial"/>
        <family val="2"/>
      </rPr>
      <t>çe</t>
    </r>
  </si>
  <si>
    <r>
      <t>s</t>
    </r>
    <r>
      <rPr>
        <sz val="10"/>
        <rFont val="Arial"/>
        <family val="2"/>
      </rPr>
      <t xml:space="preserve"> </t>
    </r>
    <r>
      <rPr>
        <vertAlign val="subscript"/>
        <sz val="12"/>
        <rFont val="Arial"/>
        <family val="2"/>
      </rPr>
      <t>çe P</t>
    </r>
  </si>
  <si>
    <r>
      <t xml:space="preserve">I. </t>
    </r>
    <r>
      <rPr>
        <sz val="10"/>
        <rFont val="Symbol"/>
        <family val="1"/>
      </rPr>
      <t>t</t>
    </r>
    <r>
      <rPr>
        <vertAlign val="subscript"/>
        <sz val="10"/>
        <rFont val="Arial"/>
        <family val="2"/>
      </rPr>
      <t>KEM</t>
    </r>
    <r>
      <rPr>
        <vertAlign val="subscript"/>
        <sz val="12"/>
        <rFont val="Arial"/>
        <family val="2"/>
      </rPr>
      <t xml:space="preserve"> </t>
    </r>
    <r>
      <rPr>
        <sz val="10"/>
        <rFont val="Arial"/>
        <family val="2"/>
      </rPr>
      <t xml:space="preserve">/ </t>
    </r>
    <r>
      <rPr>
        <sz val="12"/>
        <rFont val="Symbol"/>
        <family val="1"/>
      </rPr>
      <t>t</t>
    </r>
    <r>
      <rPr>
        <vertAlign val="subscript"/>
        <sz val="12"/>
        <rFont val="Arial"/>
        <family val="2"/>
      </rPr>
      <t>Ke</t>
    </r>
  </si>
  <si>
    <r>
      <t xml:space="preserve">I. </t>
    </r>
    <r>
      <rPr>
        <sz val="10"/>
        <rFont val="Symbol"/>
        <family val="1"/>
      </rPr>
      <t>s</t>
    </r>
    <r>
      <rPr>
        <vertAlign val="subscript"/>
        <sz val="10"/>
        <rFont val="Arial"/>
        <family val="2"/>
      </rPr>
      <t>ÇEM C</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çeC</t>
    </r>
  </si>
  <si>
    <r>
      <t xml:space="preserve">II. </t>
    </r>
    <r>
      <rPr>
        <sz val="10"/>
        <rFont val="Symbol"/>
        <family val="1"/>
      </rPr>
      <t>s</t>
    </r>
    <r>
      <rPr>
        <vertAlign val="subscript"/>
        <sz val="10"/>
        <rFont val="Arial"/>
        <family val="2"/>
      </rPr>
      <t>LEM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L</t>
    </r>
  </si>
  <si>
    <r>
      <t xml:space="preserve">Literatür </t>
    </r>
    <r>
      <rPr>
        <b/>
        <sz val="10"/>
        <color indexed="10"/>
        <rFont val="Arial"/>
        <family val="2"/>
      </rPr>
      <t xml:space="preserve"> *)1</t>
    </r>
  </si>
  <si>
    <r>
      <t xml:space="preserve">II. </t>
    </r>
    <r>
      <rPr>
        <sz val="10"/>
        <rFont val="Symbol"/>
        <family val="1"/>
      </rPr>
      <t>s</t>
    </r>
    <r>
      <rPr>
        <vertAlign val="subscript"/>
        <sz val="10"/>
        <rFont val="Arial"/>
        <family val="2"/>
      </rPr>
      <t>ÇEM P</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 P</t>
    </r>
  </si>
  <si>
    <r>
      <t xml:space="preserve">III. </t>
    </r>
    <r>
      <rPr>
        <sz val="10"/>
        <rFont val="Symbol"/>
        <family val="1"/>
      </rPr>
      <t>s</t>
    </r>
    <r>
      <rPr>
        <vertAlign val="subscript"/>
        <sz val="10"/>
        <rFont val="Arial"/>
        <family val="2"/>
      </rPr>
      <t>ÇEM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çe</t>
    </r>
  </si>
  <si>
    <r>
      <t xml:space="preserve">III. </t>
    </r>
    <r>
      <rPr>
        <sz val="10"/>
        <rFont val="Symbol"/>
        <family val="1"/>
      </rPr>
      <t>s</t>
    </r>
    <r>
      <rPr>
        <vertAlign val="subscript"/>
        <sz val="10"/>
        <rFont val="Arial"/>
        <family val="2"/>
      </rPr>
      <t>genEM</t>
    </r>
    <r>
      <rPr>
        <vertAlign val="subscript"/>
        <sz val="12"/>
        <rFont val="Arial"/>
        <family val="2"/>
      </rPr>
      <t xml:space="preserve"> </t>
    </r>
    <r>
      <rPr>
        <sz val="10"/>
        <rFont val="Arial"/>
        <family val="2"/>
      </rPr>
      <t xml:space="preserve">/ </t>
    </r>
    <r>
      <rPr>
        <sz val="12"/>
        <rFont val="Symbol"/>
        <family val="1"/>
      </rPr>
      <t>s</t>
    </r>
    <r>
      <rPr>
        <vertAlign val="subscript"/>
        <sz val="12"/>
        <rFont val="Arial"/>
        <family val="2"/>
      </rPr>
      <t>gen</t>
    </r>
  </si>
  <si>
    <r>
      <t>t</t>
    </r>
    <r>
      <rPr>
        <sz val="10"/>
        <rFont val="Arial"/>
        <family val="2"/>
      </rPr>
      <t xml:space="preserve"> </t>
    </r>
    <r>
      <rPr>
        <vertAlign val="subscript"/>
        <sz val="12"/>
        <rFont val="Arial"/>
        <family val="2"/>
      </rPr>
      <t>t C</t>
    </r>
  </si>
  <si>
    <r>
      <t>F</t>
    </r>
    <r>
      <rPr>
        <vertAlign val="subscript"/>
        <sz val="12"/>
        <rFont val="Arial"/>
        <family val="2"/>
      </rPr>
      <t>bk</t>
    </r>
  </si>
  <si>
    <r>
      <t>F</t>
    </r>
    <r>
      <rPr>
        <vertAlign val="subscript"/>
        <sz val="10"/>
        <rFont val="Arial"/>
        <family val="2"/>
      </rPr>
      <t>N</t>
    </r>
  </si>
  <si>
    <r>
      <t>S</t>
    </r>
    <r>
      <rPr>
        <vertAlign val="subscript"/>
        <sz val="10"/>
        <rFont val="Arial"/>
        <family val="2"/>
      </rPr>
      <t xml:space="preserve">BK      </t>
    </r>
    <r>
      <rPr>
        <b/>
        <sz val="12"/>
        <color indexed="10"/>
        <rFont val="Arial"/>
        <family val="2"/>
      </rPr>
      <t>*)1</t>
    </r>
  </si>
  <si>
    <r>
      <t>M</t>
    </r>
    <r>
      <rPr>
        <vertAlign val="subscript"/>
        <sz val="10"/>
        <rFont val="Arial"/>
        <family val="2"/>
      </rPr>
      <t>SV+</t>
    </r>
  </si>
  <si>
    <r>
      <t>L</t>
    </r>
    <r>
      <rPr>
        <vertAlign val="subscript"/>
        <sz val="12"/>
        <rFont val="Arial"/>
        <family val="2"/>
      </rPr>
      <t>bk</t>
    </r>
  </si>
  <si>
    <r>
      <t>M</t>
    </r>
    <r>
      <rPr>
        <vertAlign val="subscript"/>
        <sz val="10"/>
        <rFont val="Arial"/>
        <family val="2"/>
      </rPr>
      <t>SV</t>
    </r>
    <r>
      <rPr>
        <vertAlign val="subscript"/>
        <sz val="10"/>
        <rFont val="Symbol"/>
        <family val="1"/>
      </rPr>
      <t>-</t>
    </r>
  </si>
  <si>
    <r>
      <t>d</t>
    </r>
    <r>
      <rPr>
        <vertAlign val="subscript"/>
        <sz val="10"/>
        <rFont val="Arial"/>
        <family val="2"/>
      </rPr>
      <t>D</t>
    </r>
  </si>
  <si>
    <r>
      <t>M</t>
    </r>
    <r>
      <rPr>
        <vertAlign val="subscript"/>
        <sz val="10"/>
        <rFont val="Arial"/>
        <family val="2"/>
      </rPr>
      <t>SY</t>
    </r>
  </si>
  <si>
    <r>
      <t>d</t>
    </r>
    <r>
      <rPr>
        <vertAlign val="subscript"/>
        <sz val="12"/>
        <rFont val="Arial"/>
        <family val="2"/>
      </rPr>
      <t>i</t>
    </r>
  </si>
  <si>
    <r>
      <t>s</t>
    </r>
    <r>
      <rPr>
        <vertAlign val="subscript"/>
        <sz val="12"/>
        <rFont val="Arial"/>
        <family val="2"/>
      </rPr>
      <t xml:space="preserve">b </t>
    </r>
  </si>
  <si>
    <t>Tablo 21</t>
  </si>
  <si>
    <r>
      <t>t</t>
    </r>
    <r>
      <rPr>
        <vertAlign val="subscript"/>
        <sz val="12"/>
        <rFont val="Arial"/>
        <family val="2"/>
      </rPr>
      <t>t</t>
    </r>
  </si>
  <si>
    <r>
      <t xml:space="preserve">Literatür </t>
    </r>
    <r>
      <rPr>
        <b/>
        <sz val="12"/>
        <color indexed="10"/>
        <rFont val="Arial"/>
        <family val="2"/>
      </rPr>
      <t xml:space="preserve"> *)2</t>
    </r>
  </si>
  <si>
    <r>
      <t>a</t>
    </r>
    <r>
      <rPr>
        <vertAlign val="subscript"/>
        <sz val="12"/>
        <rFont val="Arial"/>
        <family val="2"/>
      </rPr>
      <t>0</t>
    </r>
    <r>
      <rPr>
        <sz val="12"/>
        <rFont val="Arial"/>
        <family val="2"/>
      </rPr>
      <t xml:space="preserve">      </t>
    </r>
    <r>
      <rPr>
        <b/>
        <sz val="12"/>
        <color indexed="10"/>
        <rFont val="Arial"/>
        <family val="2"/>
      </rPr>
      <t>*)3</t>
    </r>
  </si>
  <si>
    <t xml:space="preserve">St37 </t>
  </si>
  <si>
    <r>
      <t>s</t>
    </r>
    <r>
      <rPr>
        <vertAlign val="subscript"/>
        <sz val="12"/>
        <rFont val="Arial"/>
        <family val="2"/>
      </rPr>
      <t>bi</t>
    </r>
  </si>
  <si>
    <t>l</t>
  </si>
  <si>
    <r>
      <t>S</t>
    </r>
    <r>
      <rPr>
        <vertAlign val="subscript"/>
        <sz val="10"/>
        <rFont val="Arial"/>
        <family val="2"/>
      </rPr>
      <t>İŞ</t>
    </r>
  </si>
  <si>
    <r>
      <t xml:space="preserve">d </t>
    </r>
    <r>
      <rPr>
        <vertAlign val="subscript"/>
        <sz val="12"/>
        <rFont val="Symbol"/>
        <family val="1"/>
      </rPr>
      <t>3</t>
    </r>
  </si>
  <si>
    <r>
      <t>p</t>
    </r>
    <r>
      <rPr>
        <vertAlign val="subscript"/>
        <sz val="10"/>
        <rFont val="Arial"/>
        <family val="2"/>
      </rPr>
      <t>EM</t>
    </r>
  </si>
  <si>
    <t>Tablo 23</t>
  </si>
  <si>
    <t>Tablo 6</t>
  </si>
  <si>
    <t>Tr 48x8</t>
  </si>
  <si>
    <r>
      <t xml:space="preserve">d </t>
    </r>
    <r>
      <rPr>
        <vertAlign val="subscript"/>
        <sz val="12"/>
        <rFont val="Symbol"/>
        <family val="1"/>
      </rPr>
      <t>2</t>
    </r>
  </si>
  <si>
    <t>h</t>
  </si>
  <si>
    <r>
      <t xml:space="preserve">H </t>
    </r>
    <r>
      <rPr>
        <vertAlign val="subscript"/>
        <sz val="12"/>
        <rFont val="Symbol"/>
        <family val="1"/>
      </rPr>
      <t>1</t>
    </r>
  </si>
  <si>
    <r>
      <t xml:space="preserve">I. </t>
    </r>
    <r>
      <rPr>
        <sz val="10"/>
        <rFont val="Symbol"/>
        <family val="1"/>
      </rPr>
      <t>r</t>
    </r>
    <r>
      <rPr>
        <vertAlign val="subscript"/>
        <sz val="12"/>
        <rFont val="Arial"/>
        <family val="2"/>
      </rPr>
      <t xml:space="preserve">V </t>
    </r>
    <r>
      <rPr>
        <sz val="10"/>
        <rFont val="Arial"/>
        <family val="2"/>
      </rPr>
      <t xml:space="preserve">/ </t>
    </r>
    <r>
      <rPr>
        <sz val="12"/>
        <rFont val="Symbol"/>
        <family val="1"/>
      </rPr>
      <t>f</t>
    </r>
  </si>
  <si>
    <t>b</t>
  </si>
  <si>
    <r>
      <t xml:space="preserve">II. </t>
    </r>
    <r>
      <rPr>
        <sz val="10"/>
        <rFont val="Symbol"/>
        <family val="1"/>
      </rPr>
      <t>s</t>
    </r>
    <r>
      <rPr>
        <vertAlign val="subscript"/>
        <sz val="10"/>
        <rFont val="Arial"/>
        <family val="2"/>
      </rPr>
      <t xml:space="preserve">BEM </t>
    </r>
    <r>
      <rPr>
        <sz val="10"/>
        <rFont val="Arial"/>
        <family val="2"/>
      </rPr>
      <t xml:space="preserve">/ </t>
    </r>
    <r>
      <rPr>
        <sz val="10"/>
        <rFont val="Symbol"/>
        <family val="1"/>
      </rPr>
      <t>s</t>
    </r>
    <r>
      <rPr>
        <vertAlign val="subscript"/>
        <sz val="10"/>
        <rFont val="Arial"/>
        <family val="2"/>
      </rPr>
      <t>bi</t>
    </r>
  </si>
  <si>
    <r>
      <t>III. S</t>
    </r>
    <r>
      <rPr>
        <vertAlign val="subscript"/>
        <sz val="12"/>
        <rFont val="Arial"/>
        <family val="2"/>
      </rPr>
      <t>İş</t>
    </r>
    <r>
      <rPr>
        <sz val="10"/>
        <rFont val="Arial"/>
        <family val="2"/>
      </rPr>
      <t>/</t>
    </r>
    <r>
      <rPr>
        <sz val="10"/>
        <rFont val="Symbol"/>
        <family val="1"/>
      </rPr>
      <t>s</t>
    </r>
    <r>
      <rPr>
        <vertAlign val="subscript"/>
        <sz val="12"/>
        <rFont val="Arial"/>
        <family val="2"/>
      </rPr>
      <t>BK</t>
    </r>
  </si>
  <si>
    <r>
      <t>W</t>
    </r>
    <r>
      <rPr>
        <vertAlign val="subscript"/>
        <sz val="10"/>
        <rFont val="Arial"/>
        <family val="2"/>
      </rPr>
      <t>t</t>
    </r>
    <r>
      <rPr>
        <vertAlign val="subscript"/>
        <sz val="12"/>
        <rFont val="Arial"/>
        <family val="2"/>
      </rPr>
      <t>3</t>
    </r>
  </si>
  <si>
    <r>
      <t>IV. p</t>
    </r>
    <r>
      <rPr>
        <vertAlign val="subscript"/>
        <sz val="12"/>
        <rFont val="Arial"/>
        <family val="2"/>
      </rPr>
      <t>EM</t>
    </r>
    <r>
      <rPr>
        <vertAlign val="subscript"/>
        <sz val="10"/>
        <rFont val="Arial"/>
        <family val="2"/>
      </rPr>
      <t xml:space="preserve"> </t>
    </r>
    <r>
      <rPr>
        <sz val="10"/>
        <rFont val="Arial"/>
        <family val="2"/>
      </rPr>
      <t>/ p</t>
    </r>
    <r>
      <rPr>
        <vertAlign val="subscript"/>
        <sz val="12"/>
        <rFont val="Arial"/>
        <family val="2"/>
      </rPr>
      <t>İş</t>
    </r>
  </si>
  <si>
    <t>Tablo 22</t>
  </si>
  <si>
    <r>
      <t>m</t>
    </r>
    <r>
      <rPr>
        <vertAlign val="subscript"/>
        <sz val="12"/>
        <rFont val="Arial"/>
        <family val="2"/>
      </rPr>
      <t>V</t>
    </r>
    <r>
      <rPr>
        <sz val="12"/>
        <rFont val="Arial"/>
        <family val="2"/>
      </rPr>
      <t xml:space="preserve"> /  </t>
    </r>
    <r>
      <rPr>
        <sz val="12"/>
        <rFont val="Symbol"/>
        <family val="1"/>
      </rPr>
      <t>r</t>
    </r>
    <r>
      <rPr>
        <vertAlign val="subscript"/>
        <sz val="12"/>
        <rFont val="Arial"/>
        <family val="2"/>
      </rPr>
      <t>V</t>
    </r>
  </si>
  <si>
    <r>
      <t>m</t>
    </r>
    <r>
      <rPr>
        <vertAlign val="subscript"/>
        <sz val="12"/>
        <rFont val="Arial"/>
        <family val="2"/>
      </rPr>
      <t>Y</t>
    </r>
    <r>
      <rPr>
        <sz val="12"/>
        <rFont val="Arial"/>
        <family val="2"/>
      </rPr>
      <t xml:space="preserve"> /  </t>
    </r>
    <r>
      <rPr>
        <sz val="12"/>
        <rFont val="Symbol"/>
        <family val="1"/>
      </rPr>
      <t>r</t>
    </r>
    <r>
      <rPr>
        <vertAlign val="subscript"/>
        <sz val="12"/>
        <rFont val="Arial"/>
        <family val="2"/>
      </rPr>
      <t>Y</t>
    </r>
  </si>
  <si>
    <r>
      <t xml:space="preserve">Eğer </t>
    </r>
    <r>
      <rPr>
        <sz val="12"/>
        <color indexed="10"/>
        <rFont val="Symbol"/>
        <family val="1"/>
      </rPr>
      <t>s</t>
    </r>
    <r>
      <rPr>
        <sz val="12"/>
        <color indexed="10"/>
        <rFont val="Arial"/>
        <family val="2"/>
      </rPr>
      <t xml:space="preserve"> ve </t>
    </r>
    <r>
      <rPr>
        <sz val="12"/>
        <color indexed="10"/>
        <rFont val="Symbol"/>
        <family val="1"/>
      </rPr>
      <t>t</t>
    </r>
    <r>
      <rPr>
        <sz val="12"/>
        <color indexed="10"/>
        <rFont val="Arial"/>
        <family val="2"/>
      </rPr>
      <t xml:space="preserve"> aynı zorlama ıse </t>
    </r>
    <r>
      <rPr>
        <sz val="12"/>
        <color indexed="10"/>
        <rFont val="Symbol"/>
        <family val="1"/>
      </rPr>
      <t>a</t>
    </r>
    <r>
      <rPr>
        <vertAlign val="subscript"/>
        <sz val="12"/>
        <color indexed="10"/>
        <rFont val="Arial"/>
        <family val="2"/>
      </rPr>
      <t>0</t>
    </r>
    <r>
      <rPr>
        <sz val="12"/>
        <color indexed="10"/>
        <rFont val="Arial"/>
        <family val="2"/>
      </rPr>
      <t xml:space="preserve"> = 1, değişik zorlama ise 0,7 alınır.</t>
    </r>
  </si>
  <si>
    <t>EULER</t>
  </si>
  <si>
    <t>TEZMAJER</t>
  </si>
  <si>
    <r>
      <t>l</t>
    </r>
    <r>
      <rPr>
        <sz val="10"/>
        <rFont val="Arial"/>
        <family val="2"/>
      </rPr>
      <t xml:space="preserve"> &lt; 105</t>
    </r>
  </si>
  <si>
    <t>St50</t>
  </si>
  <si>
    <r>
      <t>l</t>
    </r>
    <r>
      <rPr>
        <sz val="10"/>
        <rFont val="Arial"/>
        <family val="2"/>
      </rPr>
      <t xml:space="preserve"> &lt; 89</t>
    </r>
  </si>
  <si>
    <t>Cıvata = Schraube = screw</t>
  </si>
  <si>
    <t>Somun = Schraubenmutter = nut</t>
  </si>
  <si>
    <t>Tablo 4, 5, 9,12, 14</t>
  </si>
  <si>
    <r>
      <t>B</t>
    </r>
    <r>
      <rPr>
        <vertAlign val="subscript"/>
        <sz val="10"/>
        <rFont val="Arial"/>
        <family val="2"/>
      </rPr>
      <t>Cı</t>
    </r>
  </si>
  <si>
    <t>°</t>
  </si>
  <si>
    <r>
      <t>d</t>
    </r>
    <r>
      <rPr>
        <vertAlign val="subscript"/>
        <sz val="10"/>
        <rFont val="Arial"/>
        <family val="2"/>
      </rPr>
      <t>Cı</t>
    </r>
  </si>
  <si>
    <r>
      <t>d</t>
    </r>
    <r>
      <rPr>
        <vertAlign val="subscript"/>
        <sz val="10"/>
        <rFont val="Arial"/>
        <family val="2"/>
      </rPr>
      <t>2</t>
    </r>
    <r>
      <rPr>
        <sz val="10"/>
        <rFont val="Arial"/>
        <family val="2"/>
      </rPr>
      <t xml:space="preserve"> ; D</t>
    </r>
    <r>
      <rPr>
        <vertAlign val="subscript"/>
        <sz val="10"/>
        <rFont val="Arial"/>
        <family val="2"/>
      </rPr>
      <t>2</t>
    </r>
  </si>
  <si>
    <r>
      <t>min A</t>
    </r>
    <r>
      <rPr>
        <vertAlign val="subscript"/>
        <sz val="12"/>
        <rFont val="Symbol"/>
        <family val="1"/>
      </rPr>
      <t>t</t>
    </r>
    <r>
      <rPr>
        <vertAlign val="subscript"/>
        <sz val="12"/>
        <rFont val="Times New Roman"/>
        <family val="1"/>
      </rPr>
      <t>Cı</t>
    </r>
  </si>
  <si>
    <r>
      <t>mm</t>
    </r>
    <r>
      <rPr>
        <vertAlign val="superscript"/>
        <sz val="10"/>
        <rFont val="Arial"/>
        <family val="2"/>
      </rPr>
      <t>2</t>
    </r>
  </si>
  <si>
    <r>
      <t>F</t>
    </r>
    <r>
      <rPr>
        <vertAlign val="subscript"/>
        <sz val="10"/>
        <rFont val="Arial"/>
        <family val="2"/>
      </rPr>
      <t>İŞmax</t>
    </r>
  </si>
  <si>
    <r>
      <t>max A</t>
    </r>
    <r>
      <rPr>
        <vertAlign val="subscript"/>
        <sz val="12"/>
        <rFont val="Symbol"/>
        <family val="1"/>
      </rPr>
      <t>t</t>
    </r>
    <r>
      <rPr>
        <vertAlign val="subscript"/>
        <sz val="12"/>
        <rFont val="Times New Roman"/>
        <family val="1"/>
      </rPr>
      <t>Cı</t>
    </r>
  </si>
  <si>
    <r>
      <t>B</t>
    </r>
    <r>
      <rPr>
        <vertAlign val="subscript"/>
        <sz val="10"/>
        <rFont val="Arial"/>
        <family val="2"/>
      </rPr>
      <t>So</t>
    </r>
  </si>
  <si>
    <r>
      <t>S</t>
    </r>
    <r>
      <rPr>
        <vertAlign val="subscript"/>
        <sz val="10"/>
        <rFont val="Arial"/>
        <family val="2"/>
      </rPr>
      <t>GER</t>
    </r>
  </si>
  <si>
    <r>
      <t xml:space="preserve">[ </t>
    </r>
    <r>
      <rPr>
        <sz val="10"/>
        <rFont val="Symbol"/>
        <family val="1"/>
      </rPr>
      <t>-</t>
    </r>
    <r>
      <rPr>
        <sz val="10"/>
        <rFont val="Arial"/>
        <family val="2"/>
      </rPr>
      <t xml:space="preserve"> ]</t>
    </r>
  </si>
  <si>
    <r>
      <t>min A</t>
    </r>
    <r>
      <rPr>
        <vertAlign val="subscript"/>
        <sz val="12"/>
        <rFont val="Symbol"/>
        <family val="1"/>
      </rPr>
      <t>t</t>
    </r>
    <r>
      <rPr>
        <vertAlign val="subscript"/>
        <sz val="12"/>
        <rFont val="Times New Roman"/>
        <family val="1"/>
      </rPr>
      <t>So</t>
    </r>
  </si>
  <si>
    <r>
      <t>max A</t>
    </r>
    <r>
      <rPr>
        <vertAlign val="subscript"/>
        <sz val="12"/>
        <rFont val="Symbol"/>
        <family val="1"/>
      </rPr>
      <t>t</t>
    </r>
    <r>
      <rPr>
        <vertAlign val="subscript"/>
        <sz val="12"/>
        <rFont val="Times New Roman"/>
        <family val="1"/>
      </rPr>
      <t>So</t>
    </r>
  </si>
  <si>
    <t>min</t>
  </si>
  <si>
    <t>[ - ]</t>
  </si>
  <si>
    <t>max</t>
  </si>
</sst>
</file>

<file path=xl/styles.xml><?xml version="1.0" encoding="utf-8"?>
<styleSheet xmlns="http://schemas.openxmlformats.org/spreadsheetml/2006/main">
  <numFmts count="5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quot; )&quot;"/>
    <numFmt numFmtId="165" formatCode="&quot;M  &quot;00"/>
    <numFmt numFmtId="166" formatCode="0.0"/>
    <numFmt numFmtId="167" formatCode="0.000"/>
    <numFmt numFmtId="168" formatCode="0\)"/>
    <numFmt numFmtId="169" formatCode="0.00&quot; kN&quot;"/>
    <numFmt numFmtId="170" formatCode="0&quot; *)1 &quot;"/>
    <numFmt numFmtId="171" formatCode="0.0&quot; mm&quot;"/>
    <numFmt numFmtId="172" formatCode="0&quot; MPa&quot;"/>
    <numFmt numFmtId="173" formatCode="0.0000&quot; °&quot;"/>
    <numFmt numFmtId="174" formatCode="&quot;7.&quot;0\)"/>
    <numFmt numFmtId="175" formatCode="0.0&quot; Nm&quot;"/>
    <numFmt numFmtId="176" formatCode="#,##0&quot; N/mm&quot;"/>
    <numFmt numFmtId="177" formatCode="\R0\)"/>
    <numFmt numFmtId="178" formatCode="&quot;M &quot;0"/>
    <numFmt numFmtId="179" formatCode="0.0######"/>
    <numFmt numFmtId="180" formatCode="0.00&quot; mm&quot;"/>
    <numFmt numFmtId="181" formatCode="0.0&quot; °&quot;"/>
    <numFmt numFmtId="182" formatCode="&quot;8.&quot;0\)"/>
    <numFmt numFmtId="183" formatCode="&quot;11.&quot;0\)"/>
    <numFmt numFmtId="184" formatCode="0&quot; Nm&quot;"/>
    <numFmt numFmtId="185" formatCode="0&quot; N/mm2&quot;"/>
    <numFmt numFmtId="186" formatCode="0.0&quot; mm2&quot;"/>
    <numFmt numFmtId="187" formatCode="0.0000000"/>
    <numFmt numFmtId="188" formatCode="0.000&quot; mm&quot;"/>
    <numFmt numFmtId="189" formatCode="0.0000&quot; ° &quot;"/>
    <numFmt numFmtId="190" formatCode="0.0000&quot; mm&quot;"/>
    <numFmt numFmtId="191" formatCode="0.0000"/>
    <numFmt numFmtId="192" formatCode="#,##0&quot; N&quot;"/>
    <numFmt numFmtId="193" formatCode="0&quot; N&quot;"/>
    <numFmt numFmtId="194" formatCode="0.00&quot; mm2&quot;"/>
    <numFmt numFmtId="195" formatCode="0.0&quot; N/mm2&quot;"/>
    <numFmt numFmtId="196" formatCode="0&quot; mm3&quot;"/>
    <numFmt numFmtId="197" formatCode="0.0000E+0"/>
    <numFmt numFmtId="198" formatCode="0.000000000"/>
    <numFmt numFmtId="199" formatCode="0.000000"/>
    <numFmt numFmtId="200" formatCode="&quot;9.&quot;0\)"/>
    <numFmt numFmtId="201" formatCode="0&quot; ° &quot;"/>
    <numFmt numFmtId="202" formatCode="0.00000000"/>
    <numFmt numFmtId="203" formatCode="0.0&quot; kN&quot;"/>
    <numFmt numFmtId="204" formatCode="0.00000"/>
    <numFmt numFmtId="205" formatCode="#,###&quot; Nm&quot;"/>
    <numFmt numFmtId="206" formatCode="0&quot; mm2&quot;"/>
    <numFmt numFmtId="207" formatCode="0&quot; mm&quot;"/>
    <numFmt numFmtId="208" formatCode="0&quot; kN&quot;"/>
    <numFmt numFmtId="209" formatCode="&quot; M &quot;0"/>
  </numFmts>
  <fonts count="48">
    <font>
      <sz val="10"/>
      <name val="Arial"/>
      <family val="2"/>
    </font>
    <font>
      <sz val="12"/>
      <name val="MS Sans Serif"/>
      <family val="2"/>
    </font>
    <font>
      <sz val="12"/>
      <name val="Arial"/>
      <family val="2"/>
    </font>
    <font>
      <b/>
      <sz val="12"/>
      <color indexed="10"/>
      <name val="Arial"/>
      <family val="2"/>
    </font>
    <font>
      <b/>
      <i/>
      <sz val="12"/>
      <color indexed="10"/>
      <name val="Arial"/>
      <family val="2"/>
    </font>
    <font>
      <u val="single"/>
      <sz val="10"/>
      <color indexed="12"/>
      <name val="Arial"/>
      <family val="2"/>
    </font>
    <font>
      <i/>
      <sz val="12"/>
      <color indexed="10"/>
      <name val="Arial"/>
      <family val="2"/>
    </font>
    <font>
      <b/>
      <sz val="48"/>
      <color indexed="10"/>
      <name val="Arial"/>
      <family val="2"/>
    </font>
    <font>
      <b/>
      <sz val="12"/>
      <color indexed="10"/>
      <name val="MS Sans Serif"/>
      <family val="2"/>
    </font>
    <font>
      <b/>
      <sz val="12"/>
      <color indexed="12"/>
      <name val="Arial"/>
      <family val="2"/>
    </font>
    <font>
      <sz val="12"/>
      <color indexed="12"/>
      <name val="Arial"/>
      <family val="2"/>
    </font>
    <font>
      <sz val="12"/>
      <color indexed="12"/>
      <name val="MS Sans Serif"/>
      <family val="2"/>
    </font>
    <font>
      <sz val="12"/>
      <color indexed="10"/>
      <name val="Arial"/>
      <family val="2"/>
    </font>
    <font>
      <sz val="12"/>
      <color indexed="10"/>
      <name val="MS Sans Serif"/>
      <family val="2"/>
    </font>
    <font>
      <b/>
      <sz val="14"/>
      <color indexed="10"/>
      <name val="Arial"/>
      <family val="2"/>
    </font>
    <font>
      <b/>
      <sz val="12"/>
      <name val="Arial"/>
      <family val="2"/>
    </font>
    <font>
      <sz val="10"/>
      <color indexed="10"/>
      <name val="Arial"/>
      <family val="2"/>
    </font>
    <font>
      <sz val="9"/>
      <name val="Arial"/>
      <family val="2"/>
    </font>
    <font>
      <sz val="9"/>
      <color indexed="10"/>
      <name val="Arial"/>
      <family val="2"/>
    </font>
    <font>
      <vertAlign val="subscript"/>
      <sz val="12"/>
      <name val="Arial"/>
      <family val="2"/>
    </font>
    <font>
      <sz val="12"/>
      <name val="Symbol"/>
      <family val="1"/>
    </font>
    <font>
      <vertAlign val="superscript"/>
      <sz val="12"/>
      <name val="Arial"/>
      <family val="2"/>
    </font>
    <font>
      <b/>
      <sz val="12"/>
      <color indexed="57"/>
      <name val="Arial"/>
      <family val="2"/>
    </font>
    <font>
      <b/>
      <sz val="10"/>
      <color indexed="10"/>
      <name val="Arial"/>
      <family val="2"/>
    </font>
    <font>
      <sz val="12"/>
      <color indexed="12"/>
      <name val="Symbol"/>
      <family val="1"/>
    </font>
    <font>
      <b/>
      <sz val="10"/>
      <name val="Arial"/>
      <family val="2"/>
    </font>
    <font>
      <b/>
      <sz val="10"/>
      <color indexed="12"/>
      <name val="Arial"/>
      <family val="2"/>
    </font>
    <font>
      <sz val="10"/>
      <color indexed="17"/>
      <name val="Arial"/>
      <family val="2"/>
    </font>
    <font>
      <b/>
      <sz val="10"/>
      <color indexed="57"/>
      <name val="Arial"/>
      <family val="2"/>
    </font>
    <font>
      <sz val="10"/>
      <color indexed="12"/>
      <name val="Arial"/>
      <family val="2"/>
    </font>
    <font>
      <sz val="10"/>
      <name val="Symbol"/>
      <family val="1"/>
    </font>
    <font>
      <vertAlign val="superscript"/>
      <sz val="10"/>
      <name val="Arial"/>
      <family val="2"/>
    </font>
    <font>
      <b/>
      <sz val="10"/>
      <color indexed="17"/>
      <name val="Arial"/>
      <family val="2"/>
    </font>
    <font>
      <vertAlign val="subscript"/>
      <sz val="10"/>
      <name val="Arial"/>
      <family val="2"/>
    </font>
    <font>
      <b/>
      <i/>
      <sz val="10"/>
      <color indexed="10"/>
      <name val="Arial"/>
      <family val="2"/>
    </font>
    <font>
      <sz val="10"/>
      <color indexed="57"/>
      <name val="Arial"/>
      <family val="2"/>
    </font>
    <font>
      <sz val="10"/>
      <color indexed="10"/>
      <name val="Symbol"/>
      <family val="1"/>
    </font>
    <font>
      <vertAlign val="subscript"/>
      <sz val="10"/>
      <color indexed="10"/>
      <name val="Arial"/>
      <family val="2"/>
    </font>
    <font>
      <b/>
      <sz val="10"/>
      <color indexed="10"/>
      <name val="Symbol"/>
      <family val="1"/>
    </font>
    <font>
      <vertAlign val="superscript"/>
      <sz val="10"/>
      <color indexed="10"/>
      <name val="Arial"/>
      <family val="2"/>
    </font>
    <font>
      <vertAlign val="subscript"/>
      <sz val="12"/>
      <color indexed="10"/>
      <name val="Arial"/>
      <family val="2"/>
    </font>
    <font>
      <i/>
      <sz val="10"/>
      <color indexed="10"/>
      <name val="Arial"/>
      <family val="2"/>
    </font>
    <font>
      <b/>
      <sz val="11"/>
      <color indexed="10"/>
      <name val="Arial"/>
      <family val="2"/>
    </font>
    <font>
      <vertAlign val="subscript"/>
      <sz val="12"/>
      <name val="Symbol"/>
      <family val="1"/>
    </font>
    <font>
      <vertAlign val="subscript"/>
      <sz val="10"/>
      <name val="Symbol"/>
      <family val="1"/>
    </font>
    <font>
      <sz val="12"/>
      <color indexed="10"/>
      <name val="Symbol"/>
      <family val="1"/>
    </font>
    <font>
      <vertAlign val="subscript"/>
      <sz val="12"/>
      <name val="Times New Roman"/>
      <family val="1"/>
    </font>
    <font>
      <sz val="8"/>
      <name val="Arial"/>
      <family val="2"/>
    </font>
  </fonts>
  <fills count="9">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8">
    <border>
      <left/>
      <right/>
      <top/>
      <bottom/>
      <diagonal/>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color indexed="63"/>
      </left>
      <right>
        <color indexed="63"/>
      </right>
      <top>
        <color indexed="63"/>
      </top>
      <bottom style="thin">
        <color indexed="1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thin">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color indexed="8"/>
      </left>
      <right>
        <color indexed="63"/>
      </right>
      <top>
        <color indexed="63"/>
      </top>
      <bottom>
        <color indexed="63"/>
      </bottom>
    </border>
    <border>
      <left style="thin">
        <color indexed="8"/>
      </left>
      <right style="hair">
        <color indexed="8"/>
      </right>
      <top style="hair">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thin">
        <color indexed="10"/>
      </left>
      <right>
        <color indexed="63"/>
      </right>
      <top style="thin">
        <color indexed="10"/>
      </top>
      <bottom style="thin">
        <color indexed="10"/>
      </bottom>
    </border>
    <border>
      <left style="hair">
        <color indexed="10"/>
      </left>
      <right style="thin">
        <color indexed="10"/>
      </right>
      <top style="thin">
        <color indexed="10"/>
      </top>
      <bottom style="thin">
        <color indexed="10"/>
      </bottom>
    </border>
    <border>
      <left>
        <color indexed="63"/>
      </left>
      <right style="hair">
        <color indexed="8"/>
      </right>
      <top>
        <color indexed="63"/>
      </top>
      <bottom>
        <color indexed="63"/>
      </bottom>
    </border>
    <border>
      <left>
        <color indexed="63"/>
      </left>
      <right>
        <color indexed="63"/>
      </right>
      <top style="thin">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medium">
        <color indexed="8"/>
      </top>
      <bottom>
        <color indexed="63"/>
      </bottom>
    </border>
    <border>
      <left>
        <color indexed="63"/>
      </left>
      <right>
        <color indexed="63"/>
      </right>
      <top style="double">
        <color indexed="8"/>
      </top>
      <bottom>
        <color indexed="63"/>
      </bottom>
    </border>
    <border>
      <left>
        <color indexed="63"/>
      </left>
      <right style="thin">
        <color indexed="8"/>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color indexed="63"/>
      </bottom>
    </border>
    <border>
      <left>
        <color indexed="63"/>
      </left>
      <right style="hair">
        <color indexed="8"/>
      </right>
      <top>
        <color indexed="63"/>
      </top>
      <bottom style="hair">
        <color indexed="8"/>
      </bottom>
    </border>
    <border>
      <left style="thin">
        <color indexed="10"/>
      </left>
      <right>
        <color indexed="63"/>
      </right>
      <top style="thin">
        <color indexed="10"/>
      </top>
      <bottom style="hair">
        <color indexed="10"/>
      </bottom>
    </border>
    <border>
      <left style="hair">
        <color indexed="10"/>
      </left>
      <right style="thin">
        <color indexed="10"/>
      </right>
      <top style="thin">
        <color indexed="10"/>
      </top>
      <bottom style="hair">
        <color indexed="10"/>
      </bottom>
    </border>
    <border>
      <left>
        <color indexed="63"/>
      </left>
      <right style="thin">
        <color indexed="10"/>
      </right>
      <top>
        <color indexed="63"/>
      </top>
      <bottom>
        <color indexed="63"/>
      </bottom>
    </border>
    <border>
      <left style="thin">
        <color indexed="10"/>
      </left>
      <right>
        <color indexed="63"/>
      </right>
      <top style="hair">
        <color indexed="10"/>
      </top>
      <bottom style="thin">
        <color indexed="10"/>
      </bottom>
    </border>
    <border>
      <left style="hair">
        <color indexed="10"/>
      </left>
      <right style="thin">
        <color indexed="10"/>
      </right>
      <top style="hair">
        <color indexed="10"/>
      </top>
      <bottom style="thin">
        <color indexed="10"/>
      </bottom>
    </border>
    <border>
      <left style="thin">
        <color indexed="10"/>
      </left>
      <right>
        <color indexed="63"/>
      </right>
      <top style="hair">
        <color indexed="10"/>
      </top>
      <bottom style="hair">
        <color indexed="10"/>
      </bottom>
    </border>
    <border>
      <left style="hair">
        <color indexed="10"/>
      </left>
      <right style="thin">
        <color indexed="10"/>
      </right>
      <top style="hair">
        <color indexed="10"/>
      </top>
      <bottom style="hair">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style="hair">
        <color indexed="10"/>
      </bottom>
    </border>
    <border>
      <left>
        <color indexed="63"/>
      </left>
      <right>
        <color indexed="63"/>
      </right>
      <top style="hair">
        <color indexed="10"/>
      </top>
      <bottom style="thin">
        <color indexed="10"/>
      </bottom>
    </border>
    <border>
      <left style="double">
        <color indexed="10"/>
      </left>
      <right style="double">
        <color indexed="10"/>
      </right>
      <top style="double">
        <color indexed="10"/>
      </top>
      <bottom style="double">
        <color indexed="10"/>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hair">
        <color indexed="8"/>
      </top>
      <bottom style="hair">
        <color indexed="8"/>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pplyNumberFormat="0" applyFill="0" applyBorder="0" applyProtection="0">
      <alignment vertical="center"/>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805">
    <xf numFmtId="0" fontId="0" fillId="0" borderId="0" xfId="0" applyAlignment="1">
      <alignment vertical="center"/>
    </xf>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4" fillId="0" borderId="0" xfId="17" applyNumberFormat="1" applyFont="1" applyFill="1" applyBorder="1" applyAlignment="1" applyProtection="1">
      <alignment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3" fillId="0" borderId="1" xfId="0" applyFont="1" applyFill="1" applyBorder="1" applyAlignment="1" applyProtection="1">
      <alignment horizontal="left"/>
      <protection hidden="1"/>
    </xf>
    <xf numFmtId="0" fontId="2" fillId="0" borderId="2"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horizontal="center" vertical="top" wrapText="1"/>
      <protection hidden="1"/>
    </xf>
    <xf numFmtId="0" fontId="2" fillId="0" borderId="2" xfId="0" applyFont="1" applyFill="1" applyBorder="1" applyAlignment="1" applyProtection="1">
      <alignment horizontal="left" vertical="top" wrapText="1"/>
      <protection hidden="1"/>
    </xf>
    <xf numFmtId="0" fontId="3" fillId="0" borderId="3" xfId="0" applyFont="1" applyFill="1" applyBorder="1" applyAlignment="1" applyProtection="1">
      <alignment horizontal="right"/>
      <protection hidden="1"/>
    </xf>
    <xf numFmtId="0" fontId="3" fillId="0" borderId="4" xfId="0" applyFont="1" applyFill="1" applyBorder="1" applyAlignment="1" applyProtection="1">
      <alignment horizontal="left" vertical="center"/>
      <protection hidden="1"/>
    </xf>
    <xf numFmtId="0" fontId="2" fillId="0" borderId="5"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2" fillId="0" borderId="5" xfId="0" applyFont="1" applyFill="1" applyBorder="1" applyAlignment="1" applyProtection="1">
      <alignment horizontal="center" vertical="top" wrapText="1"/>
      <protection hidden="1"/>
    </xf>
    <xf numFmtId="0" fontId="2" fillId="0" borderId="5" xfId="0" applyFont="1" applyFill="1" applyBorder="1" applyAlignment="1" applyProtection="1">
      <alignment horizontal="left" vertical="top" wrapText="1"/>
      <protection hidden="1"/>
    </xf>
    <xf numFmtId="0" fontId="3" fillId="0" borderId="6" xfId="0"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3" fillId="0" borderId="7" xfId="0" applyFont="1" applyFill="1" applyBorder="1" applyAlignment="1" applyProtection="1">
      <alignment horizontal="left" vertical="center"/>
      <protection hidden="1"/>
    </xf>
    <xf numFmtId="0" fontId="2" fillId="0" borderId="8" xfId="0" applyFont="1" applyFill="1" applyBorder="1" applyAlignment="1" applyProtection="1">
      <alignment vertical="center"/>
      <protection hidden="1"/>
    </xf>
    <xf numFmtId="0" fontId="3" fillId="0" borderId="8" xfId="0" applyFont="1" applyFill="1" applyBorder="1" applyAlignment="1" applyProtection="1">
      <alignment vertical="center"/>
      <protection hidden="1"/>
    </xf>
    <xf numFmtId="0" fontId="2" fillId="0" borderId="8" xfId="0" applyFont="1" applyFill="1" applyBorder="1" applyAlignment="1" applyProtection="1">
      <alignment horizontal="center" vertical="top" wrapText="1"/>
      <protection hidden="1"/>
    </xf>
    <xf numFmtId="0" fontId="2" fillId="0" borderId="8" xfId="0" applyFont="1" applyFill="1" applyBorder="1" applyAlignment="1" applyProtection="1">
      <alignment horizontal="left" vertical="top" wrapText="1"/>
      <protection hidden="1"/>
    </xf>
    <xf numFmtId="0" fontId="3" fillId="0" borderId="9" xfId="0" applyFont="1" applyFill="1" applyBorder="1" applyAlignment="1" applyProtection="1">
      <alignment horizontal="righ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left" vertical="center"/>
      <protection hidden="1"/>
    </xf>
    <xf numFmtId="0" fontId="11"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2"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0" fontId="2" fillId="0" borderId="0" xfId="0" applyFont="1" applyAlignment="1" applyProtection="1">
      <alignment vertical="top"/>
      <protection hidden="1"/>
    </xf>
    <xf numFmtId="0" fontId="14" fillId="0" borderId="0" xfId="0" applyFont="1" applyAlignment="1" applyProtection="1">
      <alignment horizontal="center" vertical="center"/>
      <protection hidden="1"/>
    </xf>
    <xf numFmtId="0" fontId="3" fillId="0" borderId="0" xfId="0" applyFont="1" applyAlignment="1" applyProtection="1">
      <alignment vertical="top"/>
      <protection hidden="1"/>
    </xf>
    <xf numFmtId="0" fontId="12" fillId="0" borderId="0" xfId="0" applyFont="1" applyAlignment="1" applyProtection="1">
      <alignment vertical="center"/>
      <protection hidden="1"/>
    </xf>
    <xf numFmtId="164" fontId="15" fillId="0" borderId="0" xfId="0" applyNumberFormat="1" applyFont="1" applyAlignment="1" applyProtection="1">
      <alignment horizontal="right" vertical="top"/>
      <protection hidden="1"/>
    </xf>
    <xf numFmtId="0" fontId="7" fillId="0" borderId="0" xfId="0" applyFont="1" applyAlignment="1" applyProtection="1">
      <alignment horizontal="center" vertical="center"/>
      <protection hidden="1"/>
    </xf>
    <xf numFmtId="164" fontId="2" fillId="0" borderId="0" xfId="0" applyNumberFormat="1" applyFont="1" applyAlignment="1" applyProtection="1">
      <alignment horizontal="right" vertical="top"/>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vertical="center" wrapText="1"/>
      <protection hidden="1"/>
    </xf>
    <xf numFmtId="164" fontId="12" fillId="0" borderId="0" xfId="0" applyNumberFormat="1" applyFont="1" applyAlignment="1" applyProtection="1">
      <alignment horizontal="right" vertical="top"/>
      <protection hidden="1"/>
    </xf>
    <xf numFmtId="164" fontId="10" fillId="0" borderId="0" xfId="0" applyNumberFormat="1" applyFont="1" applyAlignment="1" applyProtection="1">
      <alignment horizontal="right" vertical="top"/>
      <protection hidden="1"/>
    </xf>
    <xf numFmtId="0" fontId="2" fillId="0" borderId="0" xfId="0" applyFont="1" applyAlignment="1" applyProtection="1">
      <alignment horizontal="justify" vertical="center" wrapText="1"/>
      <protection hidden="1"/>
    </xf>
    <xf numFmtId="164" fontId="12" fillId="0" borderId="0" xfId="0" applyNumberFormat="1" applyFont="1" applyAlignment="1" applyProtection="1">
      <alignment vertical="top"/>
      <protection hidden="1"/>
    </xf>
    <xf numFmtId="164" fontId="10" fillId="0" borderId="0" xfId="0" applyNumberFormat="1" applyFont="1" applyAlignment="1" applyProtection="1">
      <alignment vertical="top"/>
      <protection hidden="1"/>
    </xf>
    <xf numFmtId="0" fontId="6" fillId="0" borderId="0" xfId="0" applyFont="1" applyAlignment="1" applyProtection="1">
      <alignment vertical="center"/>
      <protection hidden="1"/>
    </xf>
    <xf numFmtId="0" fontId="2" fillId="0" borderId="0" xfId="0" applyFont="1" applyAlignment="1" applyProtection="1">
      <alignment horizontal="justify" vertical="center"/>
      <protection hidden="1"/>
    </xf>
    <xf numFmtId="0" fontId="2" fillId="0" borderId="0" xfId="0" applyFont="1" applyAlignment="1" applyProtection="1">
      <alignment horizontal="left" vertical="top"/>
      <protection hidden="1"/>
    </xf>
    <xf numFmtId="0" fontId="2" fillId="0" borderId="0" xfId="0" applyFont="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Alignment="1" applyProtection="1">
      <alignment vertical="top"/>
      <protection hidden="1"/>
    </xf>
    <xf numFmtId="0" fontId="16" fillId="0" borderId="0" xfId="0" applyFont="1" applyAlignment="1" applyProtection="1">
      <alignment vertical="center"/>
      <protection hidden="1"/>
    </xf>
    <xf numFmtId="0" fontId="16" fillId="0" borderId="0" xfId="0" applyFont="1" applyAlignment="1" applyProtection="1">
      <alignment horizontal="left" vertical="center"/>
      <protection hidden="1"/>
    </xf>
    <xf numFmtId="0" fontId="16" fillId="0" borderId="0" xfId="0" applyFont="1" applyAlignment="1">
      <alignment vertical="center"/>
    </xf>
    <xf numFmtId="0" fontId="17" fillId="0" borderId="0" xfId="0" applyFont="1" applyBorder="1" applyAlignment="1" applyProtection="1">
      <alignment horizontal="center" vertical="center"/>
      <protection hidden="1"/>
    </xf>
    <xf numFmtId="0" fontId="16"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6"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2" fillId="0" borderId="0" xfId="0" applyFont="1" applyAlignment="1" applyProtection="1">
      <alignment horizontal="right"/>
      <protection hidden="1"/>
    </xf>
    <xf numFmtId="0" fontId="2" fillId="2" borderId="0" xfId="0" applyFont="1" applyFill="1" applyAlignment="1" applyProtection="1">
      <alignment vertical="center"/>
      <protection locked="0"/>
    </xf>
    <xf numFmtId="0" fontId="15" fillId="0" borderId="0" xfId="0" applyFont="1" applyAlignment="1" applyProtection="1">
      <alignment vertical="center"/>
      <protection hidden="1"/>
    </xf>
    <xf numFmtId="0" fontId="6" fillId="0" borderId="0" xfId="0" applyFont="1" applyAlignment="1" applyProtection="1">
      <alignment vertical="center"/>
      <protection hidden="1"/>
    </xf>
    <xf numFmtId="0" fontId="12" fillId="0" borderId="10" xfId="0" applyFont="1" applyBorder="1" applyAlignment="1" applyProtection="1">
      <alignment horizontal="left" vertical="center"/>
      <protection hidden="1"/>
    </xf>
    <xf numFmtId="0" fontId="2" fillId="0" borderId="10" xfId="0" applyFont="1" applyBorder="1" applyAlignment="1" applyProtection="1">
      <alignment vertical="center"/>
      <protection hidden="1"/>
    </xf>
    <xf numFmtId="0" fontId="12" fillId="0" borderId="10" xfId="0" applyFont="1" applyBorder="1" applyAlignment="1" applyProtection="1">
      <alignment vertical="center"/>
      <protection hidden="1"/>
    </xf>
    <xf numFmtId="0" fontId="10" fillId="2" borderId="0" xfId="0" applyFont="1" applyFill="1" applyAlignment="1" applyProtection="1">
      <alignment vertical="center"/>
      <protection locked="0"/>
    </xf>
    <xf numFmtId="0" fontId="2" fillId="0" borderId="0" xfId="0" applyFont="1" applyFill="1" applyBorder="1" applyAlignment="1" applyProtection="1">
      <alignment horizontal="left" vertical="center"/>
      <protection hidden="1"/>
    </xf>
    <xf numFmtId="0" fontId="2" fillId="0" borderId="0" xfId="0" applyFont="1" applyBorder="1" applyAlignment="1" applyProtection="1">
      <alignment horizontal="right"/>
      <protection hidden="1"/>
    </xf>
    <xf numFmtId="1" fontId="12" fillId="0" borderId="0" xfId="0" applyNumberFormat="1" applyFont="1" applyAlignment="1" applyProtection="1">
      <alignment vertical="center"/>
      <protection hidden="1"/>
    </xf>
    <xf numFmtId="0" fontId="2" fillId="0" borderId="0" xfId="0" applyFont="1" applyAlignment="1" applyProtection="1">
      <alignment horizontal="left"/>
      <protection hidden="1"/>
    </xf>
    <xf numFmtId="0" fontId="20" fillId="0" borderId="0" xfId="0" applyFont="1" applyAlignment="1" applyProtection="1">
      <alignment horizontal="right"/>
      <protection hidden="1"/>
    </xf>
    <xf numFmtId="0" fontId="10" fillId="2" borderId="0" xfId="0" applyFont="1" applyFill="1" applyAlignment="1" applyProtection="1">
      <alignment horizontal="right" vertical="center"/>
      <protection locked="0"/>
    </xf>
    <xf numFmtId="0" fontId="10" fillId="2" borderId="0" xfId="0" applyFont="1" applyFill="1" applyAlignment="1" applyProtection="1">
      <alignment vertical="center"/>
      <protection locked="0"/>
    </xf>
    <xf numFmtId="0" fontId="22" fillId="0" borderId="0" xfId="0" applyFont="1" applyAlignment="1" applyProtection="1">
      <alignment vertical="center"/>
      <protection hidden="1"/>
    </xf>
    <xf numFmtId="0" fontId="22" fillId="0" borderId="0" xfId="0" applyFont="1" applyAlignment="1" applyProtection="1">
      <alignment vertical="center"/>
      <protection hidden="1"/>
    </xf>
    <xf numFmtId="0" fontId="10" fillId="2" borderId="0" xfId="0" applyNumberFormat="1" applyFont="1" applyFill="1" applyAlignment="1" applyProtection="1">
      <alignment horizontal="right" vertical="center"/>
      <protection locked="0"/>
    </xf>
    <xf numFmtId="0" fontId="23" fillId="3" borderId="0" xfId="0" applyFont="1" applyFill="1" applyAlignment="1" applyProtection="1">
      <alignment vertical="center"/>
      <protection hidden="1"/>
    </xf>
    <xf numFmtId="0" fontId="3" fillId="0" borderId="0" xfId="0" applyFont="1" applyAlignment="1" applyProtection="1">
      <alignment vertical="center"/>
      <protection hidden="1"/>
    </xf>
    <xf numFmtId="165" fontId="10" fillId="2" borderId="0" xfId="0" applyNumberFormat="1" applyFont="1" applyFill="1" applyAlignment="1" applyProtection="1">
      <alignment vertical="center"/>
      <protection locked="0"/>
    </xf>
    <xf numFmtId="166" fontId="10" fillId="2" borderId="0" xfId="0" applyNumberFormat="1" applyFont="1" applyFill="1" applyAlignment="1" applyProtection="1">
      <alignment vertical="center"/>
      <protection locked="0"/>
    </xf>
    <xf numFmtId="0" fontId="10" fillId="2" borderId="0" xfId="0" applyFont="1" applyFill="1" applyBorder="1" applyAlignment="1" applyProtection="1">
      <alignment vertical="center"/>
      <protection locked="0"/>
    </xf>
    <xf numFmtId="0" fontId="22" fillId="0" borderId="0" xfId="0" applyFont="1" applyAlignment="1" applyProtection="1">
      <alignment horizontal="left" vertical="center"/>
      <protection hidden="1"/>
    </xf>
    <xf numFmtId="0" fontId="2" fillId="0" borderId="0" xfId="0" applyFont="1" applyBorder="1" applyAlignment="1" applyProtection="1">
      <alignment horizontal="left"/>
      <protection hidden="1"/>
    </xf>
    <xf numFmtId="167" fontId="10" fillId="2" borderId="0" xfId="0" applyNumberFormat="1" applyFont="1" applyFill="1" applyAlignment="1" applyProtection="1">
      <alignment vertical="center"/>
      <protection locked="0"/>
    </xf>
    <xf numFmtId="1" fontId="10" fillId="2" borderId="0" xfId="0" applyNumberFormat="1" applyFont="1" applyFill="1" applyAlignment="1" applyProtection="1">
      <alignment vertical="center"/>
      <protection locked="0"/>
    </xf>
    <xf numFmtId="0" fontId="20" fillId="0" borderId="0" xfId="0" applyFont="1" applyAlignment="1" applyProtection="1">
      <alignment horizontal="right" vertical="center"/>
      <protection hidden="1"/>
    </xf>
    <xf numFmtId="0" fontId="0" fillId="0" borderId="0" xfId="0" applyAlignment="1" applyProtection="1">
      <alignment vertical="center"/>
      <protection hidden="1"/>
    </xf>
    <xf numFmtId="0" fontId="3" fillId="0" borderId="0" xfId="0" applyFont="1" applyBorder="1" applyAlignment="1" applyProtection="1">
      <alignment horizontal="right"/>
      <protection hidden="1"/>
    </xf>
    <xf numFmtId="0" fontId="10" fillId="2" borderId="0" xfId="0" applyNumberFormat="1" applyFont="1" applyFill="1" applyBorder="1" applyAlignment="1" applyProtection="1">
      <alignment vertical="center"/>
      <protection locked="0"/>
    </xf>
    <xf numFmtId="0" fontId="3" fillId="4" borderId="0" xfId="0" applyFont="1" applyFill="1" applyBorder="1" applyAlignment="1" applyProtection="1">
      <alignment vertical="center"/>
      <protection hidden="1"/>
    </xf>
    <xf numFmtId="0" fontId="2" fillId="4" borderId="0" xfId="0" applyFont="1" applyFill="1" applyBorder="1" applyAlignment="1" applyProtection="1">
      <alignment vertical="center"/>
      <protection hidden="1"/>
    </xf>
    <xf numFmtId="0" fontId="2" fillId="4" borderId="0" xfId="0" applyFont="1" applyFill="1" applyAlignment="1" applyProtection="1">
      <alignment vertical="center"/>
      <protection hidden="1"/>
    </xf>
    <xf numFmtId="0" fontId="10" fillId="0" borderId="0" xfId="0" applyFont="1" applyAlignment="1" applyProtection="1">
      <alignment horizontal="right"/>
      <protection hidden="1"/>
    </xf>
    <xf numFmtId="0" fontId="24" fillId="0" borderId="0" xfId="0" applyFont="1" applyAlignment="1" applyProtection="1">
      <alignmen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top" wrapText="1"/>
      <protection hidden="1"/>
    </xf>
    <xf numFmtId="0" fontId="25"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0" fillId="0" borderId="0" xfId="0" applyFont="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Font="1" applyAlignment="1" applyProtection="1">
      <alignment horizontal="right" vertical="center"/>
      <protection hidden="1"/>
    </xf>
    <xf numFmtId="0" fontId="26" fillId="5" borderId="0" xfId="0" applyFont="1" applyFill="1" applyAlignment="1" applyProtection="1">
      <alignment vertical="center"/>
      <protection locked="0"/>
    </xf>
    <xf numFmtId="0" fontId="26" fillId="0" borderId="0" xfId="0" applyFont="1" applyFill="1" applyAlignment="1" applyProtection="1">
      <alignment horizontal="left" vertical="center"/>
      <protection hidden="1"/>
    </xf>
    <xf numFmtId="168" fontId="27" fillId="0" borderId="0" xfId="0" applyNumberFormat="1" applyFont="1" applyAlignment="1" applyProtection="1">
      <alignment horizontal="right" vertical="center"/>
      <protection hidden="1"/>
    </xf>
    <xf numFmtId="0" fontId="28" fillId="0" borderId="0" xfId="0" applyFont="1" applyAlignment="1" applyProtection="1">
      <alignment horizontal="left" vertical="center"/>
      <protection hidden="1"/>
    </xf>
    <xf numFmtId="0" fontId="0" fillId="0" borderId="11"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0" fillId="0" borderId="13" xfId="0" applyFont="1" applyBorder="1" applyAlignment="1" applyProtection="1">
      <alignment horizontal="left"/>
      <protection hidden="1"/>
    </xf>
    <xf numFmtId="169" fontId="29" fillId="5" borderId="14" xfId="0" applyNumberFormat="1" applyFont="1" applyFill="1" applyBorder="1" applyAlignment="1" applyProtection="1">
      <alignment vertical="center"/>
      <protection locked="0"/>
    </xf>
    <xf numFmtId="0" fontId="0" fillId="0" borderId="15" xfId="0" applyFont="1" applyBorder="1" applyAlignment="1" applyProtection="1">
      <alignment horizontal="left" vertical="center"/>
      <protection hidden="1"/>
    </xf>
    <xf numFmtId="170" fontId="16" fillId="0" borderId="16" xfId="0" applyNumberFormat="1"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textRotation="90"/>
      <protection hidden="1"/>
    </xf>
    <xf numFmtId="0" fontId="0" fillId="0" borderId="17"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0" fillId="0" borderId="19" xfId="0" applyFont="1" applyFill="1" applyBorder="1" applyAlignment="1" applyProtection="1">
      <alignment horizontal="left"/>
      <protection hidden="1"/>
    </xf>
    <xf numFmtId="169" fontId="29" fillId="5" borderId="20" xfId="0" applyNumberFormat="1" applyFont="1" applyFill="1" applyBorder="1" applyAlignment="1" applyProtection="1">
      <alignment vertical="center"/>
      <protection locked="0"/>
    </xf>
    <xf numFmtId="0" fontId="0" fillId="0" borderId="21" xfId="0" applyFont="1" applyFill="1" applyBorder="1" applyAlignment="1" applyProtection="1">
      <alignment horizontal="left" vertical="center"/>
      <protection hidden="1"/>
    </xf>
    <xf numFmtId="0" fontId="29" fillId="5" borderId="22"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0" fillId="0" borderId="23"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0" borderId="23" xfId="0" applyFont="1" applyFill="1" applyBorder="1" applyAlignment="1" applyProtection="1">
      <alignment horizontal="left"/>
      <protection hidden="1"/>
    </xf>
    <xf numFmtId="171" fontId="29" fillId="5" borderId="22" xfId="0" applyNumberFormat="1" applyFont="1" applyFill="1" applyBorder="1" applyAlignment="1" applyProtection="1">
      <alignment vertical="center"/>
      <protection locked="0"/>
    </xf>
    <xf numFmtId="171" fontId="29" fillId="5" borderId="20" xfId="0" applyNumberFormat="1" applyFont="1" applyFill="1" applyBorder="1" applyAlignment="1" applyProtection="1">
      <alignment horizontal="center" vertical="center"/>
      <protection locked="0"/>
    </xf>
    <xf numFmtId="0" fontId="30" fillId="0" borderId="0" xfId="0" applyFont="1" applyAlignment="1" applyProtection="1">
      <alignment vertical="center"/>
      <protection hidden="1"/>
    </xf>
    <xf numFmtId="0" fontId="30" fillId="0" borderId="19" xfId="0" applyFont="1" applyFill="1" applyBorder="1" applyAlignment="1" applyProtection="1">
      <alignment horizontal="left" vertical="center"/>
      <protection hidden="1"/>
    </xf>
    <xf numFmtId="167" fontId="29" fillId="5" borderId="20" xfId="0" applyNumberFormat="1" applyFont="1" applyFill="1" applyBorder="1" applyAlignment="1" applyProtection="1">
      <alignment vertical="center"/>
      <protection locked="0"/>
    </xf>
    <xf numFmtId="0" fontId="0" fillId="0" borderId="24" xfId="0" applyFont="1" applyBorder="1" applyAlignment="1" applyProtection="1">
      <alignment horizontal="left"/>
      <protection hidden="1"/>
    </xf>
    <xf numFmtId="3" fontId="29" fillId="5" borderId="25" xfId="0" applyNumberFormat="1" applyFont="1" applyFill="1" applyBorder="1" applyAlignment="1" applyProtection="1">
      <alignment horizontal="right" vertical="center"/>
      <protection locked="0"/>
    </xf>
    <xf numFmtId="3" fontId="29" fillId="5" borderId="26" xfId="0" applyNumberFormat="1" applyFont="1" applyFill="1" applyBorder="1" applyAlignment="1" applyProtection="1">
      <alignment horizontal="center" vertical="center"/>
      <protection locked="0"/>
    </xf>
    <xf numFmtId="0" fontId="0" fillId="0" borderId="24" xfId="0" applyFont="1" applyBorder="1" applyAlignment="1" applyProtection="1">
      <alignment vertical="center"/>
      <protection hidden="1"/>
    </xf>
    <xf numFmtId="0" fontId="0" fillId="0" borderId="27" xfId="0" applyFont="1" applyBorder="1" applyAlignment="1" applyProtection="1">
      <alignment vertical="center"/>
      <protection hidden="1"/>
    </xf>
    <xf numFmtId="0" fontId="0" fillId="0" borderId="27" xfId="0" applyFont="1" applyFill="1" applyBorder="1" applyAlignment="1" applyProtection="1">
      <alignment horizontal="left"/>
      <protection hidden="1"/>
    </xf>
    <xf numFmtId="169" fontId="29" fillId="5" borderId="26" xfId="0" applyNumberFormat="1" applyFont="1" applyFill="1" applyBorder="1" applyAlignment="1" applyProtection="1">
      <alignment vertical="center"/>
      <protection locked="0"/>
    </xf>
    <xf numFmtId="0" fontId="28" fillId="0" borderId="0" xfId="0" applyFont="1" applyAlignment="1" applyProtection="1">
      <alignment vertical="center"/>
      <protection hidden="1"/>
    </xf>
    <xf numFmtId="0" fontId="16" fillId="0" borderId="0" xfId="0" applyFont="1" applyBorder="1" applyAlignment="1" applyProtection="1">
      <alignment horizontal="left" vertical="center"/>
      <protection hidden="1"/>
    </xf>
    <xf numFmtId="0" fontId="28" fillId="0" borderId="0" xfId="0" applyFont="1" applyAlignment="1" applyProtection="1">
      <alignment horizontal="center" vertical="center"/>
      <protection hidden="1"/>
    </xf>
    <xf numFmtId="0" fontId="0" fillId="0" borderId="28" xfId="0" applyFont="1" applyBorder="1" applyAlignment="1" applyProtection="1">
      <alignment horizontal="left" vertical="center"/>
      <protection hidden="1"/>
    </xf>
    <xf numFmtId="0" fontId="0" fillId="0" borderId="29" xfId="0" applyFont="1" applyBorder="1" applyAlignment="1" applyProtection="1">
      <alignment horizontal="left" vertical="center"/>
      <protection hidden="1"/>
    </xf>
    <xf numFmtId="0" fontId="0" fillId="0" borderId="30" xfId="0" applyFont="1" applyFill="1" applyBorder="1" applyAlignment="1" applyProtection="1">
      <alignment horizontal="center"/>
      <protection hidden="1"/>
    </xf>
    <xf numFmtId="172" fontId="29" fillId="5" borderId="31" xfId="0" applyNumberFormat="1" applyFont="1" applyFill="1" applyBorder="1" applyAlignment="1" applyProtection="1">
      <alignment horizontal="center" vertical="center"/>
      <protection locked="0"/>
    </xf>
    <xf numFmtId="0" fontId="0" fillId="0" borderId="32" xfId="0" applyFont="1" applyFill="1" applyBorder="1" applyAlignment="1" applyProtection="1">
      <alignment horizontal="left" vertical="center"/>
      <protection hidden="1"/>
    </xf>
    <xf numFmtId="0" fontId="0" fillId="0" borderId="13" xfId="0" applyFont="1" applyBorder="1" applyAlignment="1" applyProtection="1">
      <alignment vertical="center"/>
      <protection hidden="1"/>
    </xf>
    <xf numFmtId="0" fontId="0" fillId="0" borderId="13" xfId="0" applyFont="1" applyFill="1" applyBorder="1" applyAlignment="1" applyProtection="1">
      <alignment horizontal="center" vertical="center"/>
      <protection hidden="1"/>
    </xf>
    <xf numFmtId="0" fontId="29" fillId="2" borderId="14"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left" vertical="center"/>
      <protection hidden="1"/>
    </xf>
    <xf numFmtId="0" fontId="0" fillId="0" borderId="19" xfId="0" applyFont="1" applyBorder="1" applyAlignment="1" applyProtection="1">
      <alignment vertical="center"/>
      <protection hidden="1"/>
    </xf>
    <xf numFmtId="0" fontId="0" fillId="0" borderId="19" xfId="0" applyFont="1" applyFill="1" applyBorder="1" applyAlignment="1" applyProtection="1">
      <alignment horizontal="left" vertical="center"/>
      <protection hidden="1"/>
    </xf>
    <xf numFmtId="0" fontId="29" fillId="2" borderId="20" xfId="0" applyNumberFormat="1" applyFont="1" applyFill="1" applyBorder="1" applyAlignment="1" applyProtection="1">
      <alignment horizontal="right" vertical="center"/>
      <protection locked="0"/>
    </xf>
    <xf numFmtId="0" fontId="0" fillId="0" borderId="15" xfId="0" applyFont="1" applyBorder="1" applyAlignment="1" applyProtection="1">
      <alignment vertical="center"/>
      <protection hidden="1"/>
    </xf>
    <xf numFmtId="0" fontId="20" fillId="0" borderId="16" xfId="0" applyFont="1" applyBorder="1" applyAlignment="1" applyProtection="1">
      <alignment horizontal="center"/>
      <protection hidden="1"/>
    </xf>
    <xf numFmtId="167" fontId="29" fillId="5" borderId="16" xfId="0" applyNumberFormat="1" applyFont="1" applyFill="1" applyBorder="1" applyAlignment="1" applyProtection="1">
      <alignment vertical="center"/>
      <protection locked="0"/>
    </xf>
    <xf numFmtId="173" fontId="16" fillId="0" borderId="14" xfId="0" applyNumberFormat="1" applyFont="1" applyFill="1" applyBorder="1" applyAlignment="1" applyProtection="1">
      <alignment vertical="center"/>
      <protection hidden="1"/>
    </xf>
    <xf numFmtId="0" fontId="28" fillId="0" borderId="33" xfId="0" applyFont="1" applyBorder="1" applyAlignment="1" applyProtection="1">
      <alignment vertical="center"/>
      <protection hidden="1"/>
    </xf>
    <xf numFmtId="0" fontId="29" fillId="2" borderId="20" xfId="0" applyNumberFormat="1" applyFont="1" applyFill="1" applyBorder="1" applyAlignment="1" applyProtection="1">
      <alignment vertical="center"/>
      <protection locked="0"/>
    </xf>
    <xf numFmtId="0" fontId="0" fillId="0" borderId="34" xfId="0" applyFont="1" applyBorder="1" applyAlignment="1" applyProtection="1">
      <alignment vertical="center"/>
      <protection hidden="1"/>
    </xf>
    <xf numFmtId="0" fontId="20" fillId="0" borderId="25" xfId="0" applyFont="1" applyBorder="1" applyAlignment="1" applyProtection="1">
      <alignment horizontal="center"/>
      <protection hidden="1"/>
    </xf>
    <xf numFmtId="167" fontId="29" fillId="5" borderId="25" xfId="0" applyNumberFormat="1" applyFont="1" applyFill="1" applyBorder="1" applyAlignment="1" applyProtection="1">
      <alignment vertical="center"/>
      <protection locked="0"/>
    </xf>
    <xf numFmtId="173" fontId="16" fillId="0" borderId="26" xfId="0" applyNumberFormat="1" applyFont="1" applyFill="1" applyBorder="1" applyAlignment="1" applyProtection="1">
      <alignment vertical="center"/>
      <protection hidden="1"/>
    </xf>
    <xf numFmtId="0" fontId="0" fillId="0" borderId="24" xfId="0" applyFont="1" applyFill="1" applyBorder="1" applyAlignment="1" applyProtection="1">
      <alignment horizontal="left" vertical="center"/>
      <protection hidden="1"/>
    </xf>
    <xf numFmtId="0" fontId="0" fillId="0" borderId="27" xfId="0" applyFont="1" applyFill="1" applyBorder="1" applyAlignment="1" applyProtection="1">
      <alignment horizontal="left" vertical="center"/>
      <protection hidden="1"/>
    </xf>
    <xf numFmtId="3" fontId="29" fillId="2" borderId="26" xfId="0" applyNumberFormat="1" applyFont="1" applyFill="1" applyBorder="1" applyAlignment="1" applyProtection="1">
      <alignment vertical="center"/>
      <protection locked="0"/>
    </xf>
    <xf numFmtId="174" fontId="0" fillId="0" borderId="32" xfId="0" applyNumberFormat="1" applyFont="1" applyBorder="1" applyAlignment="1" applyProtection="1">
      <alignment vertical="center"/>
      <protection hidden="1"/>
    </xf>
    <xf numFmtId="0" fontId="28" fillId="0" borderId="13" xfId="0" applyFont="1" applyFill="1" applyBorder="1" applyAlignment="1" applyProtection="1">
      <alignment horizontal="left" vertical="center"/>
      <protection hidden="1"/>
    </xf>
    <xf numFmtId="174" fontId="20" fillId="0" borderId="35" xfId="0" applyNumberFormat="1" applyFont="1" applyBorder="1" applyAlignment="1" applyProtection="1">
      <alignment horizontal="left"/>
      <protection hidden="1"/>
    </xf>
    <xf numFmtId="0" fontId="29" fillId="5" borderId="14" xfId="0" applyFont="1" applyFill="1" applyBorder="1" applyAlignment="1" applyProtection="1">
      <alignment vertical="center"/>
      <protection locked="0"/>
    </xf>
    <xf numFmtId="0" fontId="0" fillId="0" borderId="23" xfId="0" applyFont="1" applyBorder="1" applyAlignment="1" applyProtection="1">
      <alignment vertical="center"/>
      <protection hidden="1"/>
    </xf>
    <xf numFmtId="0" fontId="3" fillId="0" borderId="19" xfId="0" applyFont="1" applyFill="1" applyBorder="1" applyAlignment="1" applyProtection="1">
      <alignment horizontal="left" vertical="center"/>
      <protection hidden="1"/>
    </xf>
    <xf numFmtId="0" fontId="0" fillId="0" borderId="36" xfId="0" applyFont="1" applyBorder="1" applyAlignment="1" applyProtection="1">
      <alignment horizontal="left"/>
      <protection hidden="1"/>
    </xf>
    <xf numFmtId="175" fontId="29" fillId="5" borderId="20" xfId="0" applyNumberFormat="1" applyFont="1" applyFill="1" applyBorder="1" applyAlignment="1" applyProtection="1">
      <alignment vertical="center"/>
      <protection locked="0"/>
    </xf>
    <xf numFmtId="176" fontId="0" fillId="0" borderId="0" xfId="0" applyNumberFormat="1" applyFont="1" applyAlignment="1" applyProtection="1">
      <alignment horizontal="center" vertical="center"/>
      <protection hidden="1"/>
    </xf>
    <xf numFmtId="175" fontId="16" fillId="0" borderId="20" xfId="0" applyNumberFormat="1" applyFont="1" applyFill="1" applyBorder="1" applyAlignment="1" applyProtection="1">
      <alignment vertical="center"/>
      <protection hidden="1"/>
    </xf>
    <xf numFmtId="0" fontId="0" fillId="0" borderId="13" xfId="0" applyFont="1" applyFill="1" applyBorder="1" applyAlignment="1" applyProtection="1">
      <alignment horizontal="left" vertical="center"/>
      <protection hidden="1"/>
    </xf>
    <xf numFmtId="0" fontId="0" fillId="0" borderId="35" xfId="0" applyFont="1" applyFill="1" applyBorder="1" applyAlignment="1" applyProtection="1">
      <alignment horizontal="center" vertical="center"/>
      <protection hidden="1"/>
    </xf>
    <xf numFmtId="178" fontId="29" fillId="5" borderId="37" xfId="0" applyNumberFormat="1" applyFont="1" applyFill="1" applyBorder="1" applyAlignment="1" applyProtection="1">
      <alignment horizontal="center" vertical="center"/>
      <protection locked="0"/>
    </xf>
    <xf numFmtId="174" fontId="0" fillId="0" borderId="23" xfId="0" applyNumberFormat="1" applyFont="1" applyBorder="1" applyAlignment="1" applyProtection="1">
      <alignment vertical="center"/>
      <protection hidden="1"/>
    </xf>
    <xf numFmtId="174" fontId="30" fillId="0" borderId="36" xfId="0" applyNumberFormat="1" applyFont="1" applyBorder="1" applyAlignment="1" applyProtection="1">
      <alignment horizontal="left"/>
      <protection hidden="1"/>
    </xf>
    <xf numFmtId="179" fontId="27" fillId="0" borderId="20" xfId="0" applyNumberFormat="1" applyFont="1" applyFill="1" applyBorder="1" applyAlignment="1" applyProtection="1">
      <alignment vertical="center"/>
      <protection hidden="1"/>
    </xf>
    <xf numFmtId="0" fontId="0" fillId="0" borderId="36" xfId="0" applyFont="1" applyFill="1" applyBorder="1" applyAlignment="1" applyProtection="1">
      <alignment horizontal="center" vertical="center"/>
      <protection hidden="1"/>
    </xf>
    <xf numFmtId="180" fontId="29" fillId="5" borderId="38" xfId="0" applyNumberFormat="1" applyFont="1" applyFill="1" applyBorder="1" applyAlignment="1" applyProtection="1">
      <alignment horizontal="right" vertical="center"/>
      <protection locked="0"/>
    </xf>
    <xf numFmtId="0" fontId="30" fillId="0" borderId="36" xfId="0" applyFont="1" applyBorder="1" applyAlignment="1" applyProtection="1">
      <alignment horizontal="left"/>
      <protection hidden="1"/>
    </xf>
    <xf numFmtId="181" fontId="29" fillId="5" borderId="20" xfId="0" applyNumberFormat="1" applyFont="1" applyFill="1" applyBorder="1" applyAlignment="1" applyProtection="1">
      <alignment vertical="center"/>
      <protection locked="0"/>
    </xf>
    <xf numFmtId="0" fontId="16" fillId="0" borderId="0" xfId="0" applyFont="1" applyAlignment="1" applyProtection="1">
      <alignment vertical="center"/>
      <protection hidden="1"/>
    </xf>
    <xf numFmtId="0" fontId="0" fillId="0" borderId="23" xfId="0"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36" xfId="0" applyFont="1" applyBorder="1" applyAlignment="1" applyProtection="1">
      <alignment horizontal="center"/>
      <protection hidden="1"/>
    </xf>
    <xf numFmtId="171" fontId="29" fillId="5" borderId="19" xfId="0" applyNumberFormat="1" applyFont="1" applyFill="1" applyBorder="1" applyAlignment="1" applyProtection="1">
      <alignment vertical="center"/>
      <protection locked="0"/>
    </xf>
    <xf numFmtId="171" fontId="16" fillId="0" borderId="20" xfId="0" applyNumberFormat="1" applyFont="1" applyFill="1" applyBorder="1" applyAlignment="1" applyProtection="1">
      <alignment vertical="center"/>
      <protection hidden="1"/>
    </xf>
    <xf numFmtId="182" fontId="27" fillId="0" borderId="0" xfId="0" applyNumberFormat="1" applyFont="1" applyAlignment="1" applyProtection="1">
      <alignment horizontal="right" vertical="center"/>
      <protection hidden="1"/>
    </xf>
    <xf numFmtId="183" fontId="27" fillId="0" borderId="0" xfId="0" applyNumberFormat="1" applyFont="1" applyAlignment="1" applyProtection="1">
      <alignment horizontal="right" vertical="center"/>
      <protection hidden="1"/>
    </xf>
    <xf numFmtId="171" fontId="29" fillId="5" borderId="20" xfId="0" applyNumberFormat="1" applyFont="1" applyFill="1" applyBorder="1" applyAlignment="1" applyProtection="1">
      <alignment vertical="center"/>
      <protection locked="0"/>
    </xf>
    <xf numFmtId="182" fontId="0" fillId="0" borderId="32" xfId="0" applyNumberFormat="1" applyFont="1" applyBorder="1" applyAlignment="1" applyProtection="1">
      <alignment horizontal="left"/>
      <protection hidden="1"/>
    </xf>
    <xf numFmtId="182" fontId="0" fillId="0" borderId="13" xfId="0" applyNumberFormat="1" applyFont="1" applyBorder="1" applyAlignment="1" applyProtection="1">
      <alignment horizontal="left"/>
      <protection hidden="1"/>
    </xf>
    <xf numFmtId="184" fontId="16" fillId="0" borderId="14" xfId="0" applyNumberFormat="1" applyFont="1" applyFill="1" applyBorder="1" applyAlignment="1" applyProtection="1">
      <alignment vertical="center"/>
      <protection hidden="1"/>
    </xf>
    <xf numFmtId="0" fontId="0" fillId="0" borderId="39" xfId="0" applyFont="1" applyFill="1" applyBorder="1" applyAlignment="1" applyProtection="1">
      <alignment horizontal="left"/>
      <protection hidden="1"/>
    </xf>
    <xf numFmtId="2" fontId="16" fillId="3" borderId="40" xfId="0" applyNumberFormat="1" applyFont="1" applyFill="1" applyBorder="1" applyAlignment="1" applyProtection="1">
      <alignment horizontal="center" vertical="center"/>
      <protection hidden="1"/>
    </xf>
    <xf numFmtId="0" fontId="0" fillId="0" borderId="36" xfId="0" applyFont="1" applyFill="1" applyBorder="1" applyAlignment="1" applyProtection="1">
      <alignment horizontal="center"/>
      <protection hidden="1"/>
    </xf>
    <xf numFmtId="0" fontId="0" fillId="0" borderId="0" xfId="0" applyFont="1" applyBorder="1" applyAlignment="1" applyProtection="1">
      <alignment vertical="center"/>
      <protection hidden="1"/>
    </xf>
    <xf numFmtId="0" fontId="0" fillId="0" borderId="41" xfId="0" applyFont="1" applyBorder="1" applyAlignment="1" applyProtection="1">
      <alignment vertical="center"/>
      <protection hidden="1"/>
    </xf>
    <xf numFmtId="167" fontId="27" fillId="0" borderId="20" xfId="0" applyNumberFormat="1" applyFont="1" applyFill="1" applyBorder="1" applyAlignment="1" applyProtection="1">
      <alignment vertical="center"/>
      <protection hidden="1"/>
    </xf>
    <xf numFmtId="0" fontId="0" fillId="0" borderId="23" xfId="0" applyFont="1" applyBorder="1" applyAlignment="1" applyProtection="1">
      <alignment horizontal="left"/>
      <protection hidden="1"/>
    </xf>
    <xf numFmtId="0" fontId="30" fillId="0" borderId="19" xfId="0" applyFont="1" applyBorder="1" applyAlignment="1" applyProtection="1">
      <alignment horizontal="left"/>
      <protection hidden="1"/>
    </xf>
    <xf numFmtId="185" fontId="16" fillId="0" borderId="20" xfId="0" applyNumberFormat="1" applyFont="1" applyBorder="1" applyAlignment="1" applyProtection="1">
      <alignment vertical="center"/>
      <protection hidden="1"/>
    </xf>
    <xf numFmtId="0" fontId="16" fillId="0" borderId="0" xfId="0" applyFont="1" applyAlignment="1" applyProtection="1">
      <alignment horizontal="center" vertical="center"/>
      <protection hidden="1"/>
    </xf>
    <xf numFmtId="171" fontId="29" fillId="5" borderId="38" xfId="0" applyNumberFormat="1" applyFont="1" applyFill="1" applyBorder="1" applyAlignment="1" applyProtection="1">
      <alignment horizontal="right" vertical="center"/>
      <protection locked="0"/>
    </xf>
    <xf numFmtId="186" fontId="16" fillId="0" borderId="20" xfId="0" applyNumberFormat="1" applyFont="1" applyFill="1" applyBorder="1" applyAlignment="1" applyProtection="1">
      <alignment vertical="center"/>
      <protection hidden="1"/>
    </xf>
    <xf numFmtId="174" fontId="0" fillId="0" borderId="23" xfId="0" applyNumberFormat="1" applyFont="1" applyBorder="1" applyAlignment="1" applyProtection="1">
      <alignment horizontal="left"/>
      <protection hidden="1"/>
    </xf>
    <xf numFmtId="174" fontId="30" fillId="0" borderId="19" xfId="0" applyNumberFormat="1" applyFont="1" applyBorder="1" applyAlignment="1" applyProtection="1">
      <alignment horizontal="left"/>
      <protection hidden="1"/>
    </xf>
    <xf numFmtId="187" fontId="27" fillId="0" borderId="20" xfId="0" applyNumberFormat="1" applyFont="1" applyFill="1" applyBorder="1" applyAlignment="1" applyProtection="1">
      <alignment vertical="center"/>
      <protection hidden="1"/>
    </xf>
    <xf numFmtId="0" fontId="30" fillId="0" borderId="27" xfId="0" applyFont="1" applyBorder="1" applyAlignment="1" applyProtection="1">
      <alignment horizontal="left"/>
      <protection hidden="1"/>
    </xf>
    <xf numFmtId="185" fontId="16" fillId="3" borderId="26" xfId="0" applyNumberFormat="1" applyFont="1" applyFill="1" applyBorder="1" applyAlignment="1" applyProtection="1">
      <alignment vertical="center"/>
      <protection hidden="1"/>
    </xf>
    <xf numFmtId="171" fontId="29" fillId="5" borderId="19" xfId="0" applyNumberFormat="1" applyFont="1" applyFill="1" applyBorder="1" applyAlignment="1" applyProtection="1">
      <alignment horizontal="right" vertical="center"/>
      <protection locked="0"/>
    </xf>
    <xf numFmtId="174" fontId="0" fillId="0" borderId="36" xfId="0" applyNumberFormat="1" applyFont="1" applyBorder="1" applyAlignment="1" applyProtection="1">
      <alignment horizontal="left" vertical="center"/>
      <protection hidden="1"/>
    </xf>
    <xf numFmtId="0" fontId="29" fillId="5" borderId="20" xfId="0" applyFont="1" applyFill="1" applyBorder="1" applyAlignment="1" applyProtection="1">
      <alignment vertical="center"/>
      <protection locked="0"/>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188" fontId="16" fillId="0" borderId="38" xfId="0" applyNumberFormat="1" applyFont="1" applyFill="1" applyBorder="1" applyAlignment="1" applyProtection="1">
      <alignment horizontal="right" vertical="center"/>
      <protection hidden="1"/>
    </xf>
    <xf numFmtId="174" fontId="30" fillId="0" borderId="36" xfId="0" applyNumberFormat="1" applyFont="1" applyBorder="1" applyAlignment="1" applyProtection="1">
      <alignment horizontal="left" vertical="center"/>
      <protection hidden="1"/>
    </xf>
    <xf numFmtId="0" fontId="0" fillId="0" borderId="32" xfId="0" applyFont="1" applyBorder="1" applyAlignment="1" applyProtection="1">
      <alignment horizontal="left"/>
      <protection hidden="1"/>
    </xf>
    <xf numFmtId="186" fontId="29" fillId="5" borderId="14" xfId="0" applyNumberFormat="1" applyFont="1" applyFill="1" applyBorder="1" applyAlignment="1" applyProtection="1">
      <alignment vertical="center"/>
      <protection locked="0"/>
    </xf>
    <xf numFmtId="0" fontId="30" fillId="0" borderId="36" xfId="0" applyFont="1" applyFill="1" applyBorder="1" applyAlignment="1" applyProtection="1">
      <alignment horizontal="center" vertical="center"/>
      <protection hidden="1"/>
    </xf>
    <xf numFmtId="189" fontId="16" fillId="0" borderId="38" xfId="0" applyNumberFormat="1" applyFont="1" applyFill="1" applyBorder="1" applyAlignment="1" applyProtection="1">
      <alignment vertical="center"/>
      <protection hidden="1"/>
    </xf>
    <xf numFmtId="0" fontId="28" fillId="0" borderId="19" xfId="0" applyFont="1" applyFill="1" applyBorder="1" applyAlignment="1" applyProtection="1">
      <alignment horizontal="left" vertical="center"/>
      <protection hidden="1"/>
    </xf>
    <xf numFmtId="174" fontId="0" fillId="0" borderId="36" xfId="0" applyNumberFormat="1" applyFont="1" applyBorder="1" applyAlignment="1" applyProtection="1">
      <alignment horizontal="left"/>
      <protection hidden="1"/>
    </xf>
    <xf numFmtId="190" fontId="29" fillId="5" borderId="20" xfId="0" applyNumberFormat="1" applyFont="1" applyFill="1" applyBorder="1" applyAlignment="1" applyProtection="1">
      <alignment vertical="center"/>
      <protection locked="0"/>
    </xf>
    <xf numFmtId="0" fontId="0" fillId="0" borderId="27" xfId="0" applyFont="1" applyBorder="1" applyAlignment="1" applyProtection="1">
      <alignment horizontal="left"/>
      <protection hidden="1"/>
    </xf>
    <xf numFmtId="0" fontId="16" fillId="0" borderId="0" xfId="0" applyFont="1" applyBorder="1" applyAlignment="1" applyProtection="1">
      <alignment horizontal="center" vertical="center"/>
      <protection hidden="1"/>
    </xf>
    <xf numFmtId="191" fontId="16" fillId="0" borderId="38" xfId="0" applyNumberFormat="1" applyFont="1" applyFill="1" applyBorder="1" applyAlignment="1" applyProtection="1">
      <alignment horizontal="right" vertical="center"/>
      <protection hidden="1"/>
    </xf>
    <xf numFmtId="192" fontId="16" fillId="0" borderId="20" xfId="0" applyNumberFormat="1" applyFont="1" applyFill="1" applyBorder="1" applyAlignment="1" applyProtection="1">
      <alignment horizontal="right" vertical="center"/>
      <protection hidden="1"/>
    </xf>
    <xf numFmtId="0" fontId="27" fillId="0" borderId="0" xfId="0" applyNumberFormat="1" applyFont="1" applyAlignment="1" applyProtection="1">
      <alignment horizontal="right" vertical="center"/>
      <protection hidden="1"/>
    </xf>
    <xf numFmtId="186" fontId="16" fillId="0" borderId="38" xfId="0" applyNumberFormat="1" applyFont="1" applyFill="1" applyBorder="1" applyAlignment="1" applyProtection="1">
      <alignment vertical="center"/>
      <protection hidden="1"/>
    </xf>
    <xf numFmtId="193" fontId="16" fillId="0" borderId="20" xfId="0" applyNumberFormat="1" applyFont="1" applyFill="1" applyBorder="1" applyAlignment="1" applyProtection="1">
      <alignment horizontal="right" vertical="center"/>
      <protection hidden="1"/>
    </xf>
    <xf numFmtId="174" fontId="0" fillId="0" borderId="32" xfId="0" applyNumberFormat="1" applyFont="1" applyBorder="1" applyAlignment="1" applyProtection="1">
      <alignment horizontal="left"/>
      <protection hidden="1"/>
    </xf>
    <xf numFmtId="174" fontId="30" fillId="0" borderId="13" xfId="0" applyNumberFormat="1" applyFont="1" applyBorder="1" applyAlignment="1" applyProtection="1">
      <alignment horizontal="left"/>
      <protection hidden="1"/>
    </xf>
    <xf numFmtId="185" fontId="16" fillId="0" borderId="14" xfId="0" applyNumberFormat="1" applyFont="1" applyBorder="1" applyAlignment="1" applyProtection="1">
      <alignment vertical="center"/>
      <protection hidden="1"/>
    </xf>
    <xf numFmtId="171" fontId="0" fillId="0" borderId="36" xfId="0" applyNumberFormat="1" applyFont="1" applyFill="1" applyBorder="1" applyAlignment="1" applyProtection="1">
      <alignment horizontal="center"/>
      <protection hidden="1"/>
    </xf>
    <xf numFmtId="171" fontId="16" fillId="0" borderId="19" xfId="0" applyNumberFormat="1" applyFont="1" applyFill="1" applyBorder="1" applyAlignment="1" applyProtection="1">
      <alignment vertical="center"/>
      <protection hidden="1"/>
    </xf>
    <xf numFmtId="174" fontId="27" fillId="0" borderId="0" xfId="0" applyNumberFormat="1" applyFont="1" applyAlignment="1" applyProtection="1">
      <alignment horizontal="right" vertical="center"/>
      <protection hidden="1"/>
    </xf>
    <xf numFmtId="194" fontId="16" fillId="0" borderId="38" xfId="0" applyNumberFormat="1" applyFont="1" applyFill="1" applyBorder="1" applyAlignment="1" applyProtection="1">
      <alignment vertical="center"/>
      <protection hidden="1"/>
    </xf>
    <xf numFmtId="193" fontId="16" fillId="0" borderId="20" xfId="0" applyNumberFormat="1" applyFont="1" applyBorder="1" applyAlignment="1" applyProtection="1">
      <alignment horizontal="right" vertical="center"/>
      <protection hidden="1"/>
    </xf>
    <xf numFmtId="171" fontId="16" fillId="0" borderId="38" xfId="0" applyNumberFormat="1" applyFont="1" applyFill="1" applyBorder="1" applyAlignment="1" applyProtection="1">
      <alignment vertical="center"/>
      <protection hidden="1"/>
    </xf>
    <xf numFmtId="192" fontId="16" fillId="0" borderId="20" xfId="0" applyNumberFormat="1" applyFont="1" applyFill="1" applyBorder="1" applyAlignment="1" applyProtection="1">
      <alignment vertical="center"/>
      <protection hidden="1"/>
    </xf>
    <xf numFmtId="0" fontId="0" fillId="0" borderId="28" xfId="0" applyFont="1" applyBorder="1" applyAlignment="1" applyProtection="1">
      <alignment horizontal="left"/>
      <protection hidden="1"/>
    </xf>
    <xf numFmtId="0" fontId="0" fillId="0" borderId="42" xfId="0" applyFont="1" applyBorder="1" applyAlignment="1" applyProtection="1">
      <alignment horizontal="left"/>
      <protection hidden="1"/>
    </xf>
    <xf numFmtId="0" fontId="16" fillId="0" borderId="42" xfId="0" applyFont="1" applyFill="1" applyBorder="1" applyAlignment="1" applyProtection="1">
      <alignment horizontal="center" vertical="center"/>
      <protection hidden="1"/>
    </xf>
    <xf numFmtId="185" fontId="16" fillId="3" borderId="31" xfId="0" applyNumberFormat="1" applyFont="1" applyFill="1" applyBorder="1" applyAlignment="1" applyProtection="1">
      <alignment horizontal="right" vertical="center"/>
      <protection hidden="1"/>
    </xf>
    <xf numFmtId="188" fontId="16" fillId="0" borderId="38" xfId="0" applyNumberFormat="1" applyFont="1" applyFill="1" applyBorder="1" applyAlignment="1" applyProtection="1">
      <alignment vertical="center"/>
      <protection hidden="1"/>
    </xf>
    <xf numFmtId="192" fontId="16" fillId="0" borderId="20" xfId="0" applyNumberFormat="1" applyFont="1" applyBorder="1" applyAlignment="1" applyProtection="1">
      <alignment vertical="center"/>
      <protection hidden="1"/>
    </xf>
    <xf numFmtId="193" fontId="16" fillId="0" borderId="14" xfId="0" applyNumberFormat="1" applyFont="1" applyBorder="1" applyAlignment="1" applyProtection="1">
      <alignment vertical="center"/>
      <protection hidden="1"/>
    </xf>
    <xf numFmtId="195" fontId="16" fillId="0" borderId="20" xfId="0" applyNumberFormat="1" applyFont="1" applyFill="1" applyBorder="1" applyAlignment="1" applyProtection="1">
      <alignment vertical="center"/>
      <protection hidden="1"/>
    </xf>
    <xf numFmtId="0" fontId="0" fillId="0" borderId="43" xfId="0" applyFont="1" applyFill="1" applyBorder="1" applyAlignment="1" applyProtection="1">
      <alignment horizontal="center"/>
      <protection hidden="1"/>
    </xf>
    <xf numFmtId="196" fontId="16" fillId="0" borderId="44" xfId="0" applyNumberFormat="1" applyFont="1" applyFill="1" applyBorder="1" applyAlignment="1" applyProtection="1">
      <alignment vertical="center"/>
      <protection hidden="1"/>
    </xf>
    <xf numFmtId="0" fontId="0" fillId="0" borderId="24" xfId="0" applyFont="1" applyBorder="1" applyAlignment="1" applyProtection="1">
      <alignment vertical="center"/>
      <protection hidden="1"/>
    </xf>
    <xf numFmtId="0" fontId="0" fillId="0" borderId="43" xfId="0" applyFont="1" applyBorder="1" applyAlignment="1" applyProtection="1">
      <alignment horizontal="left"/>
      <protection hidden="1"/>
    </xf>
    <xf numFmtId="192" fontId="16" fillId="0" borderId="26" xfId="0" applyNumberFormat="1" applyFont="1" applyBorder="1" applyAlignment="1" applyProtection="1">
      <alignment vertical="center"/>
      <protection hidden="1"/>
    </xf>
    <xf numFmtId="195" fontId="29" fillId="5" borderId="26" xfId="0" applyNumberFormat="1" applyFont="1" applyFill="1" applyBorder="1" applyAlignment="1" applyProtection="1">
      <alignment vertical="center"/>
      <protection locked="0"/>
    </xf>
    <xf numFmtId="0" fontId="3" fillId="4" borderId="0" xfId="0" applyFont="1" applyFill="1" applyAlignment="1" applyProtection="1">
      <alignment vertical="center"/>
      <protection hidden="1"/>
    </xf>
    <xf numFmtId="191" fontId="16" fillId="0" borderId="0" xfId="0" applyNumberFormat="1" applyFont="1" applyFill="1" applyBorder="1" applyAlignment="1" applyProtection="1">
      <alignment horizontal="left" vertical="center"/>
      <protection hidden="1"/>
    </xf>
    <xf numFmtId="0" fontId="3" fillId="4" borderId="0" xfId="0" applyFont="1" applyFill="1" applyAlignment="1" applyProtection="1">
      <alignment horizontal="right" vertical="center"/>
      <protection hidden="1"/>
    </xf>
    <xf numFmtId="0" fontId="29" fillId="5"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hidden="1"/>
    </xf>
    <xf numFmtId="0" fontId="3" fillId="0" borderId="0" xfId="0" applyFont="1" applyAlignment="1" applyProtection="1">
      <alignment horizontal="right" vertical="center"/>
      <protection hidden="1"/>
    </xf>
    <xf numFmtId="0" fontId="16"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4" borderId="0" xfId="0" applyFont="1" applyFill="1" applyAlignment="1" applyProtection="1">
      <alignment vertical="center"/>
      <protection hidden="1"/>
    </xf>
    <xf numFmtId="0" fontId="0" fillId="0" borderId="0" xfId="0" applyAlignment="1" applyProtection="1">
      <alignment vertical="center"/>
      <protection hidden="1"/>
    </xf>
    <xf numFmtId="0" fontId="30" fillId="0" borderId="0" xfId="0" applyFont="1" applyFill="1" applyBorder="1" applyAlignment="1" applyProtection="1">
      <alignment horizontal="right" vertical="center"/>
      <protection hidden="1"/>
    </xf>
    <xf numFmtId="0" fontId="16" fillId="0" borderId="45"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197" fontId="16" fillId="0" borderId="46"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30" fillId="0" borderId="0" xfId="0" applyFont="1" applyAlignment="1" applyProtection="1">
      <alignment horizontal="right" vertical="center"/>
      <protection hidden="1"/>
    </xf>
    <xf numFmtId="0" fontId="0" fillId="0" borderId="0" xfId="0" applyFont="1" applyBorder="1" applyAlignment="1" applyProtection="1">
      <alignment horizontal="center" vertical="center" textRotation="90"/>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center"/>
      <protection hidden="1"/>
    </xf>
    <xf numFmtId="0" fontId="29" fillId="0" borderId="46" xfId="0" applyFont="1" applyBorder="1" applyAlignment="1" applyProtection="1">
      <alignment vertical="center"/>
      <protection hidden="1"/>
    </xf>
    <xf numFmtId="171" fontId="0" fillId="0" borderId="0" xfId="0" applyNumberFormat="1" applyFont="1" applyAlignment="1" applyProtection="1">
      <alignment vertical="center"/>
      <protection hidden="1"/>
    </xf>
    <xf numFmtId="2" fontId="0" fillId="0" borderId="0" xfId="0" applyNumberFormat="1" applyFont="1" applyAlignment="1" applyProtection="1">
      <alignment vertical="center"/>
      <protection hidden="1"/>
    </xf>
    <xf numFmtId="180" fontId="0" fillId="0" borderId="0" xfId="0" applyNumberFormat="1" applyFont="1" applyAlignment="1" applyProtection="1">
      <alignment vertical="center"/>
      <protection hidden="1"/>
    </xf>
    <xf numFmtId="166" fontId="0" fillId="0" borderId="0" xfId="0" applyNumberFormat="1" applyFont="1" applyAlignment="1" applyProtection="1">
      <alignment vertical="center"/>
      <protection hidden="1"/>
    </xf>
    <xf numFmtId="199" fontId="0" fillId="0" borderId="0" xfId="0" applyNumberFormat="1" applyFont="1" applyAlignment="1" applyProtection="1">
      <alignment vertical="center"/>
      <protection hidden="1"/>
    </xf>
    <xf numFmtId="166" fontId="0" fillId="0" borderId="0" xfId="0" applyNumberFormat="1" applyFont="1" applyAlignment="1" applyProtection="1">
      <alignment vertical="center"/>
      <protection hidden="1"/>
    </xf>
    <xf numFmtId="2" fontId="0" fillId="0" borderId="0" xfId="0" applyNumberFormat="1" applyFont="1" applyAlignment="1" applyProtection="1">
      <alignment vertical="center"/>
      <protection hidden="1"/>
    </xf>
    <xf numFmtId="0" fontId="0" fillId="0" borderId="0" xfId="0" applyFont="1" applyBorder="1" applyAlignment="1" applyProtection="1">
      <alignment horizontal="left" vertical="center"/>
      <protection hidden="1"/>
    </xf>
    <xf numFmtId="0" fontId="34" fillId="0" borderId="0" xfId="0" applyFont="1" applyAlignment="1" applyProtection="1">
      <alignment horizontal="left" vertical="center"/>
      <protection hidden="1"/>
    </xf>
    <xf numFmtId="0" fontId="0" fillId="0" borderId="35" xfId="0" applyFont="1" applyBorder="1" applyAlignment="1" applyProtection="1">
      <alignment horizontal="center"/>
      <protection hidden="1"/>
    </xf>
    <xf numFmtId="171" fontId="16" fillId="0" borderId="14" xfId="0" applyNumberFormat="1" applyFont="1" applyFill="1" applyBorder="1" applyAlignment="1" applyProtection="1">
      <alignment vertical="center"/>
      <protection hidden="1"/>
    </xf>
    <xf numFmtId="191" fontId="16" fillId="0" borderId="20" xfId="0" applyNumberFormat="1" applyFont="1" applyFill="1" applyBorder="1" applyAlignment="1" applyProtection="1">
      <alignment horizontal="right" vertical="center"/>
      <protection hidden="1"/>
    </xf>
    <xf numFmtId="188" fontId="16" fillId="0" borderId="20" xfId="0" applyNumberFormat="1" applyFont="1" applyFill="1" applyBorder="1" applyAlignment="1" applyProtection="1">
      <alignment horizontal="right" vertical="center"/>
      <protection hidden="1"/>
    </xf>
    <xf numFmtId="180" fontId="29" fillId="5" borderId="20" xfId="0" applyNumberFormat="1" applyFont="1" applyFill="1" applyBorder="1" applyAlignment="1" applyProtection="1">
      <alignment vertical="center"/>
      <protection locked="0"/>
    </xf>
    <xf numFmtId="189" fontId="16" fillId="0" borderId="20" xfId="0" applyNumberFormat="1" applyFont="1" applyFill="1" applyBorder="1" applyAlignment="1" applyProtection="1">
      <alignment vertical="center"/>
      <protection hidden="1"/>
    </xf>
    <xf numFmtId="0" fontId="28" fillId="0" borderId="27" xfId="0" applyFont="1" applyBorder="1" applyAlignment="1" applyProtection="1">
      <alignment horizontal="center" vertical="center"/>
      <protection hidden="1"/>
    </xf>
    <xf numFmtId="0" fontId="20" fillId="0" borderId="27" xfId="0" applyFont="1" applyFill="1" applyBorder="1" applyAlignment="1" applyProtection="1">
      <alignment horizontal="left"/>
      <protection hidden="1"/>
    </xf>
    <xf numFmtId="185" fontId="29" fillId="5" borderId="26" xfId="0" applyNumberFormat="1" applyFont="1" applyFill="1" applyBorder="1" applyAlignment="1" applyProtection="1">
      <alignment horizontal="right" vertical="center"/>
      <protection locked="0"/>
    </xf>
    <xf numFmtId="171" fontId="16" fillId="0" borderId="47" xfId="0" applyNumberFormat="1" applyFont="1" applyFill="1" applyBorder="1" applyAlignment="1" applyProtection="1">
      <alignment vertical="center"/>
      <protection hidden="1"/>
    </xf>
    <xf numFmtId="16" fontId="29" fillId="2" borderId="37" xfId="0" applyNumberFormat="1"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188" fontId="16" fillId="0" borderId="20" xfId="0" applyNumberFormat="1" applyFont="1" applyFill="1" applyBorder="1" applyAlignment="1" applyProtection="1">
      <alignment vertical="center"/>
      <protection hidden="1"/>
    </xf>
    <xf numFmtId="0" fontId="29" fillId="2" borderId="22" xfId="0" applyNumberFormat="1" applyFont="1" applyFill="1" applyBorder="1" applyAlignment="1" applyProtection="1">
      <alignment horizontal="right" vertical="center"/>
      <protection locked="0"/>
    </xf>
    <xf numFmtId="0" fontId="29" fillId="2" borderId="22" xfId="0" applyNumberFormat="1" applyFont="1" applyFill="1" applyBorder="1" applyAlignment="1" applyProtection="1">
      <alignment vertical="center"/>
      <protection locked="0"/>
    </xf>
    <xf numFmtId="196" fontId="16" fillId="0" borderId="20" xfId="0" applyNumberFormat="1" applyFont="1" applyFill="1" applyBorder="1" applyAlignment="1" applyProtection="1">
      <alignment vertical="center"/>
      <protection hidden="1"/>
    </xf>
    <xf numFmtId="3" fontId="29" fillId="2" borderId="22" xfId="0" applyNumberFormat="1" applyFont="1" applyFill="1" applyBorder="1" applyAlignment="1" applyProtection="1">
      <alignment vertical="center"/>
      <protection locked="0"/>
    </xf>
    <xf numFmtId="3" fontId="29" fillId="2" borderId="20" xfId="0" applyNumberFormat="1" applyFont="1" applyFill="1" applyBorder="1" applyAlignment="1" applyProtection="1">
      <alignment vertical="center"/>
      <protection locked="0"/>
    </xf>
    <xf numFmtId="174" fontId="20" fillId="0" borderId="19" xfId="0" applyNumberFormat="1" applyFont="1" applyBorder="1" applyAlignment="1" applyProtection="1">
      <alignment horizontal="left"/>
      <protection hidden="1"/>
    </xf>
    <xf numFmtId="174" fontId="20" fillId="0" borderId="36" xfId="0" applyNumberFormat="1" applyFont="1" applyBorder="1" applyAlignment="1" applyProtection="1">
      <alignment horizontal="left"/>
      <protection hidden="1"/>
    </xf>
    <xf numFmtId="200" fontId="27" fillId="0" borderId="0" xfId="0" applyNumberFormat="1" applyFont="1" applyAlignment="1" applyProtection="1">
      <alignment horizontal="right" vertical="center"/>
      <protection hidden="1"/>
    </xf>
    <xf numFmtId="0" fontId="20" fillId="0" borderId="24" xfId="0" applyFont="1" applyFill="1" applyBorder="1" applyAlignment="1" applyProtection="1">
      <alignment horizontal="left"/>
      <protection hidden="1"/>
    </xf>
    <xf numFmtId="0" fontId="29" fillId="2" borderId="25" xfId="0" applyNumberFormat="1" applyFont="1" applyFill="1" applyBorder="1" applyAlignment="1" applyProtection="1">
      <alignment vertical="center"/>
      <protection locked="0"/>
    </xf>
    <xf numFmtId="0" fontId="29" fillId="2" borderId="26" xfId="0" applyNumberFormat="1" applyFont="1" applyFill="1" applyBorder="1" applyAlignment="1" applyProtection="1">
      <alignment vertical="center"/>
      <protection locked="0"/>
    </xf>
    <xf numFmtId="0" fontId="0" fillId="0" borderId="19" xfId="0" applyFont="1" applyBorder="1" applyAlignment="1" applyProtection="1">
      <alignment horizontal="right"/>
      <protection hidden="1"/>
    </xf>
    <xf numFmtId="182" fontId="0" fillId="0" borderId="32" xfId="0" applyNumberFormat="1" applyFont="1" applyBorder="1" applyAlignment="1" applyProtection="1">
      <alignment horizontal="left" vertical="center"/>
      <protection hidden="1"/>
    </xf>
    <xf numFmtId="0" fontId="0" fillId="0" borderId="13" xfId="0" applyFont="1" applyBorder="1" applyAlignment="1" applyProtection="1">
      <alignment horizontal="left" vertical="center"/>
      <protection hidden="1"/>
    </xf>
    <xf numFmtId="0" fontId="0" fillId="0" borderId="36" xfId="0" applyFont="1" applyBorder="1" applyAlignment="1" applyProtection="1">
      <alignment horizontal="right"/>
      <protection hidden="1"/>
    </xf>
    <xf numFmtId="0" fontId="0" fillId="0" borderId="23" xfId="0" applyFont="1" applyBorder="1" applyAlignment="1" applyProtection="1">
      <alignment horizontal="left" vertical="center"/>
      <protection hidden="1"/>
    </xf>
    <xf numFmtId="0" fontId="0" fillId="0" borderId="19"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174" fontId="0" fillId="0" borderId="23" xfId="0" applyNumberFormat="1" applyFont="1" applyBorder="1" applyAlignment="1" applyProtection="1">
      <alignment horizontal="left" vertical="center"/>
      <protection hidden="1"/>
    </xf>
    <xf numFmtId="0" fontId="35" fillId="0" borderId="19" xfId="0" applyFont="1" applyBorder="1" applyAlignment="1" applyProtection="1">
      <alignment horizontal="left" vertical="center"/>
      <protection hidden="1"/>
    </xf>
    <xf numFmtId="0" fontId="30" fillId="0" borderId="36" xfId="0" applyFont="1" applyBorder="1" applyAlignment="1" applyProtection="1">
      <alignment horizontal="right"/>
      <protection hidden="1"/>
    </xf>
    <xf numFmtId="0" fontId="23" fillId="0" borderId="0" xfId="0" applyFont="1" applyFill="1" applyBorder="1" applyAlignment="1" applyProtection="1">
      <alignment horizontal="center" vertical="center" textRotation="90"/>
      <protection hidden="1"/>
    </xf>
    <xf numFmtId="0" fontId="0" fillId="0" borderId="24" xfId="0" applyFont="1" applyBorder="1" applyAlignment="1" applyProtection="1">
      <alignment horizontal="left" vertical="center"/>
      <protection hidden="1"/>
    </xf>
    <xf numFmtId="0" fontId="35" fillId="0" borderId="27" xfId="0" applyFont="1" applyBorder="1" applyAlignment="1" applyProtection="1">
      <alignment horizontal="left" vertical="center"/>
      <protection hidden="1"/>
    </xf>
    <xf numFmtId="0" fontId="0" fillId="0" borderId="21" xfId="0" applyFont="1" applyFill="1" applyBorder="1" applyAlignment="1" applyProtection="1">
      <alignment horizontal="left"/>
      <protection hidden="1"/>
    </xf>
    <xf numFmtId="171" fontId="29" fillId="5" borderId="22" xfId="0" applyNumberFormat="1" applyFont="1" applyFill="1" applyBorder="1" applyAlignment="1" applyProtection="1">
      <alignment horizontal="center" vertical="center"/>
      <protection locked="0"/>
    </xf>
    <xf numFmtId="174" fontId="30" fillId="0" borderId="23" xfId="0" applyNumberFormat="1" applyFont="1" applyBorder="1" applyAlignment="1" applyProtection="1">
      <alignment horizontal="left" vertical="center"/>
      <protection hidden="1"/>
    </xf>
    <xf numFmtId="174" fontId="30" fillId="0" borderId="19" xfId="0" applyNumberFormat="1" applyFont="1" applyBorder="1" applyAlignment="1" applyProtection="1">
      <alignment horizontal="left" vertical="center"/>
      <protection hidden="1"/>
    </xf>
    <xf numFmtId="0" fontId="27" fillId="0" borderId="19" xfId="0" applyFont="1" applyFill="1" applyBorder="1" applyAlignment="1" applyProtection="1">
      <alignment horizontal="right" vertical="center"/>
      <protection hidden="1"/>
    </xf>
    <xf numFmtId="0" fontId="0" fillId="0" borderId="21" xfId="0" applyFont="1" applyBorder="1" applyAlignment="1" applyProtection="1">
      <alignment horizontal="left"/>
      <protection hidden="1"/>
    </xf>
    <xf numFmtId="3" fontId="29" fillId="5" borderId="22" xfId="0" applyNumberFormat="1" applyFont="1" applyFill="1" applyBorder="1" applyAlignment="1" applyProtection="1">
      <alignment horizontal="right" vertical="center"/>
      <protection locked="0"/>
    </xf>
    <xf numFmtId="3" fontId="29" fillId="5" borderId="20" xfId="0" applyNumberFormat="1" applyFont="1" applyFill="1" applyBorder="1" applyAlignment="1" applyProtection="1">
      <alignment horizontal="right" vertical="center"/>
      <protection locked="0"/>
    </xf>
    <xf numFmtId="0" fontId="16" fillId="0" borderId="19" xfId="0" applyFont="1" applyFill="1" applyBorder="1" applyAlignment="1" applyProtection="1">
      <alignment horizontal="right" vertical="center"/>
      <protection hidden="1"/>
    </xf>
    <xf numFmtId="179" fontId="16" fillId="0" borderId="20" xfId="0" applyNumberFormat="1" applyFont="1" applyFill="1" applyBorder="1" applyAlignment="1" applyProtection="1">
      <alignment vertical="center"/>
      <protection hidden="1"/>
    </xf>
    <xf numFmtId="0" fontId="0" fillId="0" borderId="32" xfId="0" applyFont="1" applyBorder="1" applyAlignment="1" applyProtection="1">
      <alignment horizontal="left" vertical="center"/>
      <protection hidden="1"/>
    </xf>
    <xf numFmtId="0" fontId="0" fillId="0" borderId="13" xfId="0" applyFont="1" applyFill="1" applyBorder="1" applyAlignment="1" applyProtection="1">
      <alignment horizontal="left" vertical="center"/>
      <protection hidden="1"/>
    </xf>
    <xf numFmtId="201" fontId="29" fillId="5" borderId="22" xfId="0" applyNumberFormat="1" applyFont="1" applyFill="1" applyBorder="1" applyAlignment="1" applyProtection="1">
      <alignment vertical="center"/>
      <protection locked="0"/>
    </xf>
    <xf numFmtId="201" fontId="29" fillId="5" borderId="20" xfId="0" applyNumberFormat="1" applyFont="1" applyFill="1" applyBorder="1" applyAlignment="1" applyProtection="1">
      <alignment vertical="center"/>
      <protection locked="0"/>
    </xf>
    <xf numFmtId="174" fontId="0" fillId="0" borderId="19" xfId="0" applyNumberFormat="1" applyFont="1" applyBorder="1" applyAlignment="1" applyProtection="1">
      <alignment horizontal="left"/>
      <protection hidden="1"/>
    </xf>
    <xf numFmtId="0" fontId="0" fillId="0" borderId="19" xfId="0" applyFont="1" applyBorder="1" applyAlignment="1" applyProtection="1">
      <alignment horizontal="right" vertical="center"/>
      <protection hidden="1"/>
    </xf>
    <xf numFmtId="1" fontId="29" fillId="5" borderId="14" xfId="0" applyNumberFormat="1" applyFont="1" applyFill="1" applyBorder="1" applyAlignment="1" applyProtection="1">
      <alignment horizontal="center" vertical="center"/>
      <protection hidden="1"/>
    </xf>
    <xf numFmtId="3" fontId="29" fillId="5" borderId="22" xfId="0" applyNumberFormat="1" applyFont="1" applyFill="1" applyBorder="1" applyAlignment="1" applyProtection="1">
      <alignment horizontal="center" vertical="center"/>
      <protection locked="0"/>
    </xf>
    <xf numFmtId="0" fontId="0" fillId="0" borderId="19" xfId="0" applyFont="1" applyBorder="1" applyAlignment="1" applyProtection="1">
      <alignment horizontal="left"/>
      <protection hidden="1"/>
    </xf>
    <xf numFmtId="1" fontId="29" fillId="5" borderId="20" xfId="0" applyNumberFormat="1" applyFont="1" applyFill="1" applyBorder="1" applyAlignment="1" applyProtection="1">
      <alignment horizontal="center" vertical="center"/>
      <protection hidden="1"/>
    </xf>
    <xf numFmtId="0" fontId="20" fillId="0" borderId="34" xfId="0" applyFont="1" applyFill="1" applyBorder="1" applyAlignment="1" applyProtection="1">
      <alignment horizontal="left"/>
      <protection hidden="1"/>
    </xf>
    <xf numFmtId="0" fontId="29" fillId="5" borderId="25" xfId="0" applyFont="1" applyFill="1" applyBorder="1" applyAlignment="1" applyProtection="1">
      <alignment horizontal="center" vertical="center"/>
      <protection locked="0"/>
    </xf>
    <xf numFmtId="202" fontId="29" fillId="5" borderId="26"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left" vertical="center"/>
      <protection hidden="1"/>
    </xf>
    <xf numFmtId="0" fontId="16" fillId="0" borderId="13" xfId="0" applyFont="1" applyBorder="1" applyAlignment="1" applyProtection="1">
      <alignment horizontal="left" vertical="center"/>
      <protection hidden="1"/>
    </xf>
    <xf numFmtId="0" fontId="0" fillId="0" borderId="48" xfId="0" applyFont="1" applyBorder="1" applyAlignment="1" applyProtection="1">
      <alignment vertical="center"/>
      <protection hidden="1"/>
    </xf>
    <xf numFmtId="0" fontId="0" fillId="0" borderId="36" xfId="0" applyFont="1" applyBorder="1" applyAlignment="1" applyProtection="1">
      <alignment vertical="center"/>
      <protection hidden="1"/>
    </xf>
    <xf numFmtId="3" fontId="29" fillId="5" borderId="20" xfId="0" applyNumberFormat="1" applyFont="1" applyFill="1" applyBorder="1" applyAlignment="1" applyProtection="1">
      <alignment horizontal="center" vertical="center"/>
      <protection hidden="1"/>
    </xf>
    <xf numFmtId="0" fontId="16" fillId="0" borderId="0" xfId="0" applyFont="1" applyBorder="1" applyAlignment="1" applyProtection="1">
      <alignment vertical="center"/>
      <protection hidden="1"/>
    </xf>
    <xf numFmtId="176" fontId="0" fillId="0" borderId="0" xfId="0" applyNumberFormat="1" applyFont="1" applyBorder="1" applyAlignment="1" applyProtection="1">
      <alignment horizontal="center" vertical="center"/>
      <protection hidden="1"/>
    </xf>
    <xf numFmtId="0" fontId="0" fillId="0" borderId="24" xfId="0" applyFont="1" applyBorder="1" applyAlignment="1" applyProtection="1">
      <alignment horizontal="left" vertical="center"/>
      <protection hidden="1"/>
    </xf>
    <xf numFmtId="0" fontId="16" fillId="0" borderId="27" xfId="0" applyFont="1" applyBorder="1" applyAlignment="1" applyProtection="1">
      <alignment horizontal="left" vertical="center"/>
      <protection hidden="1"/>
    </xf>
    <xf numFmtId="0" fontId="0" fillId="0" borderId="49" xfId="0" applyFont="1" applyBorder="1" applyAlignment="1" applyProtection="1">
      <alignment horizontal="left" vertical="center"/>
      <protection hidden="1"/>
    </xf>
    <xf numFmtId="0" fontId="0" fillId="0" borderId="43" xfId="0" applyFont="1" applyBorder="1" applyAlignment="1" applyProtection="1">
      <alignment vertical="center"/>
      <protection hidden="1"/>
    </xf>
    <xf numFmtId="3" fontId="29" fillId="5" borderId="26" xfId="0" applyNumberFormat="1" applyFont="1" applyFill="1" applyBorder="1" applyAlignment="1" applyProtection="1">
      <alignment horizontal="center" vertical="center"/>
      <protection hidden="1"/>
    </xf>
    <xf numFmtId="178" fontId="29" fillId="5" borderId="14" xfId="0" applyNumberFormat="1" applyFont="1" applyFill="1" applyBorder="1" applyAlignment="1" applyProtection="1">
      <alignment horizontal="center" vertical="center"/>
      <protection locked="0"/>
    </xf>
    <xf numFmtId="180" fontId="29" fillId="5" borderId="20" xfId="0" applyNumberFormat="1" applyFont="1" applyFill="1" applyBorder="1" applyAlignment="1" applyProtection="1">
      <alignment horizontal="right" vertical="center"/>
      <protection locked="0"/>
    </xf>
    <xf numFmtId="174" fontId="0" fillId="0" borderId="19" xfId="0" applyNumberFormat="1" applyFont="1" applyBorder="1" applyAlignment="1" applyProtection="1">
      <alignment horizontal="left" vertical="center"/>
      <protection hidden="1"/>
    </xf>
    <xf numFmtId="0" fontId="16" fillId="0" borderId="42" xfId="0" applyFont="1" applyBorder="1" applyAlignment="1" applyProtection="1">
      <alignment horizontal="left" vertical="center"/>
      <protection hidden="1"/>
    </xf>
    <xf numFmtId="185" fontId="16" fillId="3" borderId="31" xfId="0" applyNumberFormat="1" applyFont="1" applyFill="1" applyBorder="1" applyAlignment="1" applyProtection="1">
      <alignment horizontal="center" vertical="center"/>
      <protection hidden="1"/>
    </xf>
    <xf numFmtId="166" fontId="0" fillId="0" borderId="0" xfId="0" applyNumberFormat="1" applyFont="1" applyAlignment="1" applyProtection="1">
      <alignment horizontal="right" vertical="center"/>
      <protection hidden="1"/>
    </xf>
    <xf numFmtId="0" fontId="16" fillId="0" borderId="0" xfId="0" applyFont="1" applyFill="1" applyBorder="1" applyAlignment="1" applyProtection="1">
      <alignment horizontal="left" vertical="center"/>
      <protection hidden="1"/>
    </xf>
    <xf numFmtId="171" fontId="29" fillId="5" borderId="47" xfId="0" applyNumberFormat="1" applyFont="1" applyFill="1" applyBorder="1" applyAlignment="1" applyProtection="1">
      <alignment vertical="center"/>
      <protection locked="0"/>
    </xf>
    <xf numFmtId="0" fontId="16" fillId="0" borderId="36" xfId="0" applyFont="1" applyFill="1" applyBorder="1" applyAlignment="1" applyProtection="1">
      <alignment horizontal="right" vertical="center"/>
      <protection hidden="1"/>
    </xf>
    <xf numFmtId="2" fontId="0" fillId="0" borderId="0" xfId="0" applyNumberFormat="1" applyFont="1" applyAlignment="1" applyProtection="1">
      <alignment horizontal="right" vertical="center"/>
      <protection hidden="1"/>
    </xf>
    <xf numFmtId="0" fontId="0" fillId="0" borderId="35" xfId="0" applyFont="1" applyBorder="1" applyAlignment="1" applyProtection="1">
      <alignment horizontal="left" vertical="center"/>
      <protection hidden="1"/>
    </xf>
    <xf numFmtId="0" fontId="16" fillId="0" borderId="13" xfId="0" applyFont="1" applyBorder="1" applyAlignment="1" applyProtection="1">
      <alignment vertical="center"/>
      <protection hidden="1"/>
    </xf>
    <xf numFmtId="166" fontId="16" fillId="3" borderId="40" xfId="0" applyNumberFormat="1" applyFont="1" applyFill="1" applyBorder="1" applyAlignment="1" applyProtection="1">
      <alignment horizontal="center" vertical="center"/>
      <protection hidden="1"/>
    </xf>
    <xf numFmtId="0" fontId="0" fillId="0" borderId="43" xfId="0" applyFont="1" applyBorder="1" applyAlignment="1" applyProtection="1">
      <alignment horizontal="left" vertical="center"/>
      <protection hidden="1"/>
    </xf>
    <xf numFmtId="203" fontId="16" fillId="0" borderId="20" xfId="0" applyNumberFormat="1" applyFont="1" applyFill="1" applyBorder="1" applyAlignment="1" applyProtection="1">
      <alignment horizontal="right" vertical="center"/>
      <protection hidden="1"/>
    </xf>
    <xf numFmtId="0" fontId="16" fillId="0" borderId="19" xfId="0" applyFont="1" applyFill="1" applyBorder="1" applyAlignment="1" applyProtection="1">
      <alignment vertical="center"/>
      <protection hidden="1"/>
    </xf>
    <xf numFmtId="195" fontId="16" fillId="3" borderId="20" xfId="0" applyNumberFormat="1" applyFont="1" applyFill="1" applyBorder="1" applyAlignment="1" applyProtection="1">
      <alignment vertical="center"/>
      <protection hidden="1"/>
    </xf>
    <xf numFmtId="171" fontId="29" fillId="5" borderId="20" xfId="0" applyNumberFormat="1" applyFont="1" applyFill="1" applyBorder="1" applyAlignment="1" applyProtection="1">
      <alignment horizontal="right" vertical="center"/>
      <protection locked="0"/>
    </xf>
    <xf numFmtId="0" fontId="30" fillId="0" borderId="19" xfId="0" applyFont="1" applyBorder="1" applyAlignment="1" applyProtection="1">
      <alignment/>
      <protection hidden="1"/>
    </xf>
    <xf numFmtId="0" fontId="30" fillId="0" borderId="36" xfId="0" applyFont="1" applyBorder="1" applyAlignment="1" applyProtection="1">
      <alignment/>
      <protection hidden="1"/>
    </xf>
    <xf numFmtId="190" fontId="16" fillId="0" borderId="20" xfId="0" applyNumberFormat="1" applyFont="1" applyBorder="1" applyAlignment="1" applyProtection="1">
      <alignment vertical="center"/>
      <protection hidden="1"/>
    </xf>
    <xf numFmtId="0" fontId="28" fillId="0" borderId="27" xfId="0" applyFont="1" applyFill="1" applyBorder="1" applyAlignment="1" applyProtection="1">
      <alignment horizontal="left" vertical="center"/>
      <protection hidden="1"/>
    </xf>
    <xf numFmtId="193" fontId="16" fillId="0" borderId="20" xfId="0" applyNumberFormat="1" applyFont="1" applyBorder="1" applyAlignment="1" applyProtection="1">
      <alignment vertical="center"/>
      <protection hidden="1"/>
    </xf>
    <xf numFmtId="0" fontId="0" fillId="0" borderId="32" xfId="0" applyFont="1" applyBorder="1" applyAlignment="1" applyProtection="1">
      <alignment vertical="center"/>
      <protection hidden="1"/>
    </xf>
    <xf numFmtId="0" fontId="0" fillId="0" borderId="13" xfId="0" applyBorder="1" applyAlignment="1" applyProtection="1">
      <alignment vertical="center"/>
      <protection hidden="1"/>
    </xf>
    <xf numFmtId="180" fontId="29" fillId="5" borderId="14" xfId="0" applyNumberFormat="1" applyFont="1" applyFill="1" applyBorder="1" applyAlignment="1" applyProtection="1">
      <alignment horizontal="right" vertical="center"/>
      <protection hidden="1"/>
    </xf>
    <xf numFmtId="171" fontId="29" fillId="5" borderId="50" xfId="0" applyNumberFormat="1" applyFont="1" applyFill="1" applyBorder="1" applyAlignment="1" applyProtection="1">
      <alignment horizontal="right" vertical="center"/>
      <protection locked="0"/>
    </xf>
    <xf numFmtId="0" fontId="0" fillId="0" borderId="21" xfId="0" applyFont="1" applyBorder="1" applyAlignment="1" applyProtection="1">
      <alignment horizontal="right"/>
      <protection hidden="1"/>
    </xf>
    <xf numFmtId="0" fontId="0" fillId="0" borderId="35" xfId="0" applyFont="1" applyBorder="1" applyAlignment="1" applyProtection="1">
      <alignment horizontal="left"/>
      <protection hidden="1"/>
    </xf>
    <xf numFmtId="169" fontId="16" fillId="0" borderId="14" xfId="0" applyNumberFormat="1" applyFont="1" applyFill="1" applyBorder="1" applyAlignment="1" applyProtection="1">
      <alignment vertical="center"/>
      <protection hidden="1"/>
    </xf>
    <xf numFmtId="1" fontId="0" fillId="0" borderId="0" xfId="0" applyNumberFormat="1" applyFont="1" applyAlignment="1" applyProtection="1">
      <alignment horizontal="right" vertical="center"/>
      <protection hidden="1"/>
    </xf>
    <xf numFmtId="171" fontId="29" fillId="5" borderId="20" xfId="0" applyNumberFormat="1" applyFont="1" applyFill="1" applyBorder="1" applyAlignment="1" applyProtection="1">
      <alignment vertical="center"/>
      <protection hidden="1"/>
    </xf>
    <xf numFmtId="203" fontId="29" fillId="5" borderId="20" xfId="0" applyNumberFormat="1" applyFont="1" applyFill="1" applyBorder="1" applyAlignment="1" applyProtection="1">
      <alignment vertical="center"/>
      <protection locked="0"/>
    </xf>
    <xf numFmtId="169" fontId="16" fillId="0" borderId="20" xfId="0" applyNumberFormat="1" applyFont="1" applyFill="1" applyBorder="1" applyAlignment="1" applyProtection="1">
      <alignment vertical="center"/>
      <protection hidden="1"/>
    </xf>
    <xf numFmtId="0" fontId="30" fillId="0" borderId="23" xfId="0" applyFont="1" applyBorder="1" applyAlignment="1" applyProtection="1">
      <alignment vertical="center"/>
      <protection hidden="1"/>
    </xf>
    <xf numFmtId="167" fontId="29" fillId="5" borderId="20" xfId="0" applyNumberFormat="1" applyFont="1" applyFill="1" applyBorder="1" applyAlignment="1" applyProtection="1">
      <alignment vertical="center"/>
      <protection hidden="1"/>
    </xf>
    <xf numFmtId="0" fontId="0" fillId="0" borderId="32" xfId="0" applyFont="1" applyBorder="1" applyAlignment="1" applyProtection="1">
      <alignment vertical="center"/>
      <protection hidden="1"/>
    </xf>
    <xf numFmtId="0" fontId="0" fillId="0" borderId="35" xfId="0" applyFont="1" applyFill="1" applyBorder="1" applyAlignment="1" applyProtection="1">
      <alignment horizontal="center"/>
      <protection hidden="1"/>
    </xf>
    <xf numFmtId="185" fontId="29" fillId="5" borderId="14" xfId="0" applyNumberFormat="1" applyFont="1" applyFill="1" applyBorder="1" applyAlignment="1" applyProtection="1">
      <alignment horizontal="center" vertical="center"/>
      <protection locked="0"/>
    </xf>
    <xf numFmtId="203" fontId="16" fillId="0" borderId="20" xfId="0" applyNumberFormat="1" applyFont="1" applyBorder="1" applyAlignment="1" applyProtection="1">
      <alignment vertical="center"/>
      <protection hidden="1"/>
    </xf>
    <xf numFmtId="0" fontId="16" fillId="0" borderId="27" xfId="0" applyFont="1" applyBorder="1" applyAlignment="1" applyProtection="1">
      <alignment horizontal="center" vertical="center"/>
      <protection hidden="1"/>
    </xf>
    <xf numFmtId="169" fontId="16" fillId="0" borderId="26" xfId="0" applyNumberFormat="1" applyFont="1" applyFill="1" applyBorder="1" applyAlignment="1" applyProtection="1">
      <alignment vertical="center"/>
      <protection hidden="1"/>
    </xf>
    <xf numFmtId="199" fontId="0" fillId="0" borderId="0" xfId="0" applyNumberFormat="1" applyFont="1" applyAlignment="1" applyProtection="1">
      <alignment horizontal="right" vertical="center"/>
      <protection hidden="1"/>
    </xf>
    <xf numFmtId="194" fontId="29" fillId="5" borderId="20" xfId="0" applyNumberFormat="1" applyFont="1" applyFill="1" applyBorder="1" applyAlignment="1" applyProtection="1">
      <alignment horizontal="right" vertical="center"/>
      <protection hidden="1"/>
    </xf>
    <xf numFmtId="185" fontId="29" fillId="5" borderId="26" xfId="0" applyNumberFormat="1" applyFont="1" applyFill="1" applyBorder="1" applyAlignment="1" applyProtection="1">
      <alignment horizontal="center" vertical="center"/>
      <protection locked="0"/>
    </xf>
    <xf numFmtId="203" fontId="16" fillId="0" borderId="20" xfId="0" applyNumberFormat="1" applyFont="1" applyFill="1" applyBorder="1" applyAlignment="1" applyProtection="1">
      <alignment vertical="center"/>
      <protection hidden="1"/>
    </xf>
    <xf numFmtId="180" fontId="29" fillId="5" borderId="20" xfId="0" applyNumberFormat="1" applyFont="1" applyFill="1" applyBorder="1" applyAlignment="1" applyProtection="1">
      <alignment horizontal="right" vertical="center"/>
      <protection hidden="1"/>
    </xf>
    <xf numFmtId="203" fontId="16" fillId="0" borderId="0" xfId="0" applyNumberFormat="1" applyFont="1" applyBorder="1" applyAlignment="1" applyProtection="1">
      <alignment vertical="center"/>
      <protection hidden="1"/>
    </xf>
    <xf numFmtId="0" fontId="30" fillId="0" borderId="13" xfId="0" applyFont="1" applyBorder="1" applyAlignment="1" applyProtection="1">
      <alignment horizontal="left" vertical="center"/>
      <protection hidden="1"/>
    </xf>
    <xf numFmtId="0" fontId="0" fillId="0" borderId="27" xfId="0" applyBorder="1" applyAlignment="1" applyProtection="1">
      <alignment vertical="center"/>
      <protection hidden="1"/>
    </xf>
    <xf numFmtId="171" fontId="29" fillId="5" borderId="26" xfId="0" applyNumberFormat="1" applyFont="1" applyFill="1" applyBorder="1" applyAlignment="1" applyProtection="1">
      <alignment horizontal="right" vertical="center"/>
      <protection hidden="1"/>
    </xf>
    <xf numFmtId="174" fontId="0" fillId="0" borderId="36" xfId="0" applyNumberFormat="1" applyFont="1" applyBorder="1" applyAlignment="1" applyProtection="1">
      <alignment horizontal="right"/>
      <protection hidden="1"/>
    </xf>
    <xf numFmtId="193" fontId="16" fillId="0" borderId="0" xfId="0" applyNumberFormat="1" applyFont="1" applyFill="1" applyBorder="1" applyAlignment="1" applyProtection="1">
      <alignment horizontal="right" vertical="center"/>
      <protection hidden="1"/>
    </xf>
    <xf numFmtId="0" fontId="0" fillId="0" borderId="23" xfId="0" applyFont="1" applyBorder="1" applyAlignment="1" applyProtection="1">
      <alignment horizontal="left" vertical="center"/>
      <protection hidden="1"/>
    </xf>
    <xf numFmtId="0" fontId="30" fillId="0" borderId="19" xfId="0" applyFont="1" applyFill="1" applyBorder="1" applyAlignment="1" applyProtection="1">
      <alignment vertical="center"/>
      <protection hidden="1"/>
    </xf>
    <xf numFmtId="0" fontId="0" fillId="0" borderId="43" xfId="0" applyFont="1" applyBorder="1" applyAlignment="1" applyProtection="1">
      <alignment horizontal="right"/>
      <protection hidden="1"/>
    </xf>
    <xf numFmtId="193" fontId="16" fillId="0" borderId="26" xfId="0" applyNumberFormat="1" applyFont="1" applyFill="1" applyBorder="1" applyAlignment="1" applyProtection="1">
      <alignment horizontal="right" vertical="center"/>
      <protection hidden="1"/>
    </xf>
    <xf numFmtId="0" fontId="0" fillId="0" borderId="27" xfId="0" applyFont="1" applyBorder="1" applyAlignment="1" applyProtection="1">
      <alignment horizontal="left" vertical="center"/>
      <protection hidden="1"/>
    </xf>
    <xf numFmtId="0" fontId="30" fillId="0" borderId="27" xfId="0" applyFont="1" applyBorder="1" applyAlignment="1" applyProtection="1">
      <alignment horizontal="left" vertical="center"/>
      <protection hidden="1"/>
    </xf>
    <xf numFmtId="171" fontId="0" fillId="0" borderId="0" xfId="0" applyNumberFormat="1" applyFont="1" applyAlignment="1" applyProtection="1">
      <alignment vertical="center"/>
      <protection hidden="1"/>
    </xf>
    <xf numFmtId="0" fontId="3" fillId="0" borderId="0" xfId="0" applyFont="1" applyAlignment="1" applyProtection="1">
      <alignment horizontal="left" vertical="center"/>
      <protection hidden="1"/>
    </xf>
    <xf numFmtId="0" fontId="16" fillId="4" borderId="12" xfId="0" applyFont="1" applyFill="1" applyBorder="1" applyAlignment="1" applyProtection="1">
      <alignment vertical="center" wrapText="1"/>
      <protection hidden="1"/>
    </xf>
    <xf numFmtId="0" fontId="16" fillId="4" borderId="0" xfId="0" applyFont="1" applyFill="1" applyBorder="1" applyAlignment="1" applyProtection="1">
      <alignment vertical="center" wrapText="1"/>
      <protection hidden="1"/>
    </xf>
    <xf numFmtId="0" fontId="16" fillId="0" borderId="0" xfId="0" applyFont="1" applyFill="1" applyBorder="1" applyAlignment="1" applyProtection="1">
      <alignment horizontal="center" vertical="center" wrapText="1"/>
      <protection hidden="1"/>
    </xf>
    <xf numFmtId="0" fontId="27" fillId="0" borderId="19" xfId="0" applyFont="1" applyFill="1" applyBorder="1" applyAlignment="1" applyProtection="1">
      <alignment horizontal="center" vertical="center"/>
      <protection hidden="1"/>
    </xf>
    <xf numFmtId="0" fontId="20" fillId="0" borderId="23" xfId="0" applyFont="1" applyBorder="1" applyAlignment="1" applyProtection="1">
      <alignment horizontal="left"/>
      <protection hidden="1"/>
    </xf>
    <xf numFmtId="0" fontId="16" fillId="0" borderId="19" xfId="0" applyFont="1" applyBorder="1" applyAlignment="1" applyProtection="1">
      <alignment vertical="center"/>
      <protection hidden="1"/>
    </xf>
    <xf numFmtId="0" fontId="30" fillId="0" borderId="23" xfId="0" applyFont="1" applyBorder="1" applyAlignment="1" applyProtection="1">
      <alignment horizontal="left"/>
      <protection hidden="1"/>
    </xf>
    <xf numFmtId="0" fontId="18" fillId="0" borderId="0" xfId="0" applyFont="1" applyBorder="1" applyAlignment="1" applyProtection="1">
      <alignment horizontal="center" vertical="center"/>
      <protection hidden="1"/>
    </xf>
    <xf numFmtId="2" fontId="0" fillId="0" borderId="0" xfId="0" applyNumberFormat="1" applyAlignment="1" applyProtection="1">
      <alignment vertical="center"/>
      <protection hidden="1"/>
    </xf>
    <xf numFmtId="1" fontId="25" fillId="0" borderId="0" xfId="0" applyNumberFormat="1" applyFont="1" applyAlignment="1" applyProtection="1">
      <alignment horizontal="center" vertical="center"/>
      <protection hidden="1"/>
    </xf>
    <xf numFmtId="197" fontId="23" fillId="0" borderId="0" xfId="0" applyNumberFormat="1" applyFont="1" applyAlignment="1" applyProtection="1">
      <alignment vertical="center"/>
      <protection hidden="1"/>
    </xf>
    <xf numFmtId="204" fontId="16" fillId="0" borderId="0" xfId="0" applyNumberFormat="1" applyFont="1" applyAlignment="1" applyProtection="1">
      <alignment vertical="center"/>
      <protection hidden="1"/>
    </xf>
    <xf numFmtId="11" fontId="16" fillId="0" borderId="0" xfId="0" applyNumberFormat="1" applyFont="1" applyFill="1" applyBorder="1" applyAlignment="1" applyProtection="1">
      <alignment vertical="center"/>
      <protection hidden="1"/>
    </xf>
    <xf numFmtId="0" fontId="16" fillId="0" borderId="19" xfId="0" applyFont="1" applyFill="1" applyBorder="1" applyAlignment="1" applyProtection="1">
      <alignment horizontal="center" vertical="center"/>
      <protection hidden="1"/>
    </xf>
    <xf numFmtId="0" fontId="16" fillId="0" borderId="51" xfId="0" applyFont="1" applyFill="1" applyBorder="1" applyAlignment="1" applyProtection="1">
      <alignment vertical="center"/>
      <protection hidden="1"/>
    </xf>
    <xf numFmtId="0" fontId="0" fillId="0" borderId="0" xfId="0" applyFont="1" applyFill="1" applyAlignment="1" applyProtection="1">
      <alignment horizontal="center" vertical="center"/>
      <protection hidden="1"/>
    </xf>
    <xf numFmtId="0" fontId="0" fillId="3" borderId="0" xfId="0" applyFont="1" applyFill="1" applyAlignment="1" applyProtection="1">
      <alignment horizontal="right" vertical="center"/>
      <protection hidden="1"/>
    </xf>
    <xf numFmtId="0" fontId="23" fillId="0" borderId="0" xfId="0" applyFont="1" applyFill="1" applyBorder="1" applyAlignment="1" applyProtection="1">
      <alignment vertical="center"/>
      <protection hidden="1"/>
    </xf>
    <xf numFmtId="0" fontId="23" fillId="0" borderId="0" xfId="0" applyFont="1" applyAlignment="1" applyProtection="1">
      <alignment vertical="center"/>
      <protection hidden="1"/>
    </xf>
    <xf numFmtId="16" fontId="0" fillId="0" borderId="0" xfId="0" applyNumberFormat="1" applyFont="1" applyAlignment="1" applyProtection="1">
      <alignment horizontal="center" vertical="center"/>
      <protection hidden="1"/>
    </xf>
    <xf numFmtId="0" fontId="23" fillId="0" borderId="0" xfId="0" applyFont="1" applyAlignment="1" applyProtection="1">
      <alignment vertical="center"/>
      <protection hidden="1"/>
    </xf>
    <xf numFmtId="0" fontId="0" fillId="0" borderId="0" xfId="0" applyFont="1" applyFill="1" applyBorder="1" applyAlignment="1" applyProtection="1">
      <alignment horizontal="center" vertical="center"/>
      <protection hidden="1"/>
    </xf>
    <xf numFmtId="187" fontId="0" fillId="0" borderId="0" xfId="0" applyNumberFormat="1" applyFont="1" applyAlignment="1" applyProtection="1">
      <alignment vertical="center"/>
      <protection hidden="1"/>
    </xf>
    <xf numFmtId="0" fontId="36" fillId="0" borderId="0" xfId="0" applyFont="1" applyFill="1" applyBorder="1" applyAlignment="1" applyProtection="1">
      <alignment horizontal="right" vertical="center"/>
      <protection hidden="1"/>
    </xf>
    <xf numFmtId="0" fontId="38" fillId="0" borderId="0" xfId="0" applyFont="1" applyAlignment="1" applyProtection="1">
      <alignment horizontal="right" vertical="center"/>
      <protection hidden="1"/>
    </xf>
    <xf numFmtId="174" fontId="36" fillId="0" borderId="0" xfId="0" applyNumberFormat="1" applyFont="1" applyBorder="1" applyAlignment="1" applyProtection="1">
      <alignment horizontal="right" vertical="center"/>
      <protection hidden="1"/>
    </xf>
    <xf numFmtId="166" fontId="0" fillId="0" borderId="0" xfId="0" applyNumberFormat="1" applyFont="1" applyAlignment="1" applyProtection="1">
      <alignment horizontal="center" vertical="center"/>
      <protection hidden="1"/>
    </xf>
    <xf numFmtId="166" fontId="23" fillId="0" borderId="0" xfId="0" applyNumberFormat="1" applyFont="1" applyAlignment="1" applyProtection="1">
      <alignment horizontal="center" vertical="center"/>
      <protection hidden="1"/>
    </xf>
    <xf numFmtId="0" fontId="36" fillId="4" borderId="0" xfId="0" applyFont="1" applyFill="1" applyBorder="1" applyAlignment="1" applyProtection="1">
      <alignment horizontal="right" vertical="center"/>
      <protection hidden="1"/>
    </xf>
    <xf numFmtId="0" fontId="16" fillId="4" borderId="0" xfId="0" applyNumberFormat="1" applyFont="1" applyFill="1" applyAlignment="1" applyProtection="1">
      <alignment vertical="center"/>
      <protection hidden="1"/>
    </xf>
    <xf numFmtId="0" fontId="34" fillId="0" borderId="0" xfId="0" applyFont="1" applyAlignment="1" applyProtection="1">
      <alignment horizontal="right" vertical="center"/>
      <protection hidden="1"/>
    </xf>
    <xf numFmtId="188" fontId="16" fillId="0" borderId="14" xfId="0" applyNumberFormat="1" applyFont="1" applyFill="1" applyBorder="1" applyAlignment="1" applyProtection="1">
      <alignment horizontal="right" vertical="center"/>
      <protection hidden="1"/>
    </xf>
    <xf numFmtId="0" fontId="0" fillId="0" borderId="13" xfId="0" applyFont="1" applyBorder="1" applyAlignment="1" applyProtection="1">
      <alignment vertical="center"/>
      <protection hidden="1"/>
    </xf>
    <xf numFmtId="0" fontId="0" fillId="0" borderId="35" xfId="0" applyFont="1" applyBorder="1" applyAlignment="1" applyProtection="1">
      <alignment horizontal="center" vertical="center"/>
      <protection hidden="1"/>
    </xf>
    <xf numFmtId="186" fontId="16" fillId="0" borderId="14" xfId="0" applyNumberFormat="1" applyFont="1" applyBorder="1" applyAlignment="1" applyProtection="1">
      <alignment vertical="center"/>
      <protection hidden="1"/>
    </xf>
    <xf numFmtId="186" fontId="16" fillId="0" borderId="0" xfId="0" applyNumberFormat="1" applyFont="1" applyBorder="1" applyAlignment="1" applyProtection="1">
      <alignment vertical="center"/>
      <protection hidden="1"/>
    </xf>
    <xf numFmtId="182" fontId="0" fillId="0" borderId="35" xfId="0" applyNumberFormat="1" applyFont="1" applyBorder="1" applyAlignment="1" applyProtection="1">
      <alignment horizontal="left"/>
      <protection hidden="1"/>
    </xf>
    <xf numFmtId="175" fontId="16" fillId="0" borderId="14" xfId="0" applyNumberFormat="1" applyFont="1" applyFill="1" applyBorder="1" applyAlignment="1" applyProtection="1">
      <alignment vertical="center"/>
      <protection hidden="1"/>
    </xf>
    <xf numFmtId="0" fontId="0" fillId="0" borderId="19" xfId="0" applyFont="1" applyBorder="1" applyAlignment="1" applyProtection="1">
      <alignment vertical="center"/>
      <protection hidden="1"/>
    </xf>
    <xf numFmtId="186" fontId="16" fillId="0" borderId="20" xfId="0" applyNumberFormat="1" applyFont="1" applyBorder="1" applyAlignment="1" applyProtection="1">
      <alignment vertical="center"/>
      <protection hidden="1"/>
    </xf>
    <xf numFmtId="182" fontId="0" fillId="0" borderId="23" xfId="0" applyNumberFormat="1" applyFont="1" applyBorder="1" applyAlignment="1" applyProtection="1">
      <alignment horizontal="left" vertical="center"/>
      <protection hidden="1"/>
    </xf>
    <xf numFmtId="0" fontId="0" fillId="0" borderId="36" xfId="0" applyFont="1" applyBorder="1" applyAlignment="1" applyProtection="1">
      <alignment horizontal="center" vertical="center"/>
      <protection hidden="1"/>
    </xf>
    <xf numFmtId="0" fontId="28" fillId="0" borderId="0" xfId="0" applyFont="1" applyBorder="1" applyAlignment="1" applyProtection="1">
      <alignment horizontal="center" textRotation="90"/>
      <protection hidden="1"/>
    </xf>
    <xf numFmtId="191" fontId="16" fillId="0" borderId="0" xfId="0" applyNumberFormat="1" applyFont="1" applyFill="1" applyBorder="1" applyAlignment="1" applyProtection="1">
      <alignment horizontal="right" vertical="center"/>
      <protection hidden="1"/>
    </xf>
    <xf numFmtId="182" fontId="0" fillId="0" borderId="24" xfId="0" applyNumberFormat="1" applyFont="1" applyBorder="1" applyAlignment="1" applyProtection="1">
      <alignment horizontal="left" vertical="center"/>
      <protection hidden="1"/>
    </xf>
    <xf numFmtId="0" fontId="30" fillId="0" borderId="43" xfId="0" applyFont="1" applyBorder="1" applyAlignment="1" applyProtection="1">
      <alignment horizontal="left"/>
      <protection hidden="1"/>
    </xf>
    <xf numFmtId="0" fontId="0" fillId="0" borderId="27" xfId="0" applyFont="1" applyBorder="1" applyAlignment="1" applyProtection="1">
      <alignment vertical="center"/>
      <protection hidden="1"/>
    </xf>
    <xf numFmtId="196" fontId="16" fillId="0" borderId="47" xfId="0" applyNumberFormat="1"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174" fontId="0" fillId="0" borderId="23" xfId="0" applyNumberFormat="1" applyFont="1" applyBorder="1" applyAlignment="1" applyProtection="1">
      <alignment horizontal="left"/>
      <protection hidden="1"/>
    </xf>
    <xf numFmtId="0" fontId="0" fillId="0" borderId="48" xfId="0" applyFont="1" applyBorder="1" applyAlignment="1" applyProtection="1">
      <alignment horizontal="left"/>
      <protection hidden="1"/>
    </xf>
    <xf numFmtId="0" fontId="0" fillId="0" borderId="51" xfId="0" applyFont="1" applyBorder="1" applyAlignment="1" applyProtection="1">
      <alignment horizontal="left"/>
      <protection hidden="1"/>
    </xf>
    <xf numFmtId="0" fontId="3" fillId="0" borderId="36" xfId="0" applyFont="1" applyBorder="1" applyAlignment="1" applyProtection="1">
      <alignment horizontal="right" vertical="center"/>
      <protection hidden="1"/>
    </xf>
    <xf numFmtId="0" fontId="0" fillId="0" borderId="0" xfId="0" applyAlignment="1" applyProtection="1">
      <alignment horizontal="left" vertical="center"/>
      <protection hidden="1"/>
    </xf>
    <xf numFmtId="174" fontId="0" fillId="0" borderId="32" xfId="0" applyNumberFormat="1" applyFont="1" applyBorder="1" applyAlignment="1" applyProtection="1">
      <alignment horizontal="left"/>
      <protection hidden="1"/>
    </xf>
    <xf numFmtId="174" fontId="30" fillId="0" borderId="35" xfId="0" applyNumberFormat="1" applyFont="1" applyBorder="1" applyAlignment="1" applyProtection="1">
      <alignment horizontal="left"/>
      <protection hidden="1"/>
    </xf>
    <xf numFmtId="0" fontId="23" fillId="0" borderId="17" xfId="0" applyFont="1" applyBorder="1" applyAlignment="1" applyProtection="1">
      <alignment horizontal="right" vertical="center"/>
      <protection hidden="1"/>
    </xf>
    <xf numFmtId="0" fontId="3" fillId="0" borderId="18" xfId="0" applyFont="1" applyBorder="1" applyAlignment="1" applyProtection="1">
      <alignment horizontal="right" vertical="center"/>
      <protection hidden="1"/>
    </xf>
    <xf numFmtId="0" fontId="35" fillId="0" borderId="36" xfId="0" applyFont="1" applyBorder="1" applyAlignment="1" applyProtection="1">
      <alignment horizontal="right" vertical="center"/>
      <protection hidden="1"/>
    </xf>
    <xf numFmtId="0" fontId="0" fillId="0" borderId="24" xfId="0" applyFont="1" applyBorder="1" applyAlignment="1" applyProtection="1">
      <alignment horizontal="left"/>
      <protection hidden="1"/>
    </xf>
    <xf numFmtId="0" fontId="0" fillId="0" borderId="23" xfId="0" applyFont="1" applyBorder="1" applyAlignment="1" applyProtection="1">
      <alignment horizontal="left"/>
      <protection hidden="1"/>
    </xf>
    <xf numFmtId="0" fontId="0" fillId="0" borderId="36" xfId="0" applyFont="1" applyFill="1" applyBorder="1" applyAlignment="1" applyProtection="1">
      <alignment horizontal="right" vertical="center"/>
      <protection hidden="1"/>
    </xf>
    <xf numFmtId="0" fontId="29" fillId="0" borderId="25" xfId="0" applyNumberFormat="1" applyFont="1" applyFill="1" applyBorder="1" applyAlignment="1" applyProtection="1">
      <alignment vertical="center"/>
      <protection hidden="1"/>
    </xf>
    <xf numFmtId="205" fontId="16" fillId="0" borderId="20" xfId="0" applyNumberFormat="1" applyFont="1" applyFill="1" applyBorder="1" applyAlignment="1" applyProtection="1">
      <alignment vertical="center"/>
      <protection hidden="1"/>
    </xf>
    <xf numFmtId="0" fontId="0" fillId="0" borderId="29" xfId="0" applyFont="1" applyBorder="1" applyAlignment="1" applyProtection="1">
      <alignment horizontal="left"/>
      <protection hidden="1"/>
    </xf>
    <xf numFmtId="0" fontId="16" fillId="0" borderId="16" xfId="0" applyFont="1" applyFill="1" applyBorder="1" applyAlignment="1" applyProtection="1">
      <alignment horizontal="center" vertical="center"/>
      <protection hidden="1"/>
    </xf>
    <xf numFmtId="0" fontId="35" fillId="0" borderId="36" xfId="0" applyFont="1" applyFill="1" applyBorder="1" applyAlignment="1" applyProtection="1">
      <alignment horizontal="right" vertical="center"/>
      <protection hidden="1"/>
    </xf>
    <xf numFmtId="182" fontId="0" fillId="0" borderId="32" xfId="0" applyNumberFormat="1" applyFont="1" applyBorder="1" applyAlignment="1" applyProtection="1">
      <alignment horizontal="left"/>
      <protection hidden="1"/>
    </xf>
    <xf numFmtId="0" fontId="16" fillId="0" borderId="36" xfId="0" applyFont="1" applyFill="1" applyBorder="1" applyAlignment="1" applyProtection="1">
      <alignment horizontal="right" vertical="center"/>
      <protection hidden="1"/>
    </xf>
    <xf numFmtId="0" fontId="30" fillId="0" borderId="52" xfId="0" applyFont="1" applyBorder="1" applyAlignment="1" applyProtection="1">
      <alignment vertical="center"/>
      <protection hidden="1"/>
    </xf>
    <xf numFmtId="185" fontId="16" fillId="0" borderId="20" xfId="0" applyNumberFormat="1" applyFont="1" applyFill="1" applyBorder="1" applyAlignment="1" applyProtection="1">
      <alignment vertical="center"/>
      <protection hidden="1"/>
    </xf>
    <xf numFmtId="171" fontId="29" fillId="5" borderId="22" xfId="0" applyNumberFormat="1" applyFont="1" applyFill="1" applyBorder="1" applyAlignment="1" applyProtection="1">
      <alignment horizontal="right" vertical="center"/>
      <protection locked="0"/>
    </xf>
    <xf numFmtId="201" fontId="29" fillId="5" borderId="2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right" vertical="center"/>
      <protection hidden="1"/>
    </xf>
    <xf numFmtId="206" fontId="16" fillId="0" borderId="20" xfId="0" applyNumberFormat="1" applyFont="1" applyFill="1" applyBorder="1" applyAlignment="1" applyProtection="1">
      <alignment vertical="center"/>
      <protection hidden="1"/>
    </xf>
    <xf numFmtId="174" fontId="0" fillId="0" borderId="32" xfId="0" applyNumberFormat="1" applyFont="1" applyBorder="1" applyAlignment="1" applyProtection="1">
      <alignment horizontal="left" vertical="center"/>
      <protection hidden="1"/>
    </xf>
    <xf numFmtId="0" fontId="20" fillId="0" borderId="35" xfId="0" applyFont="1" applyBorder="1" applyAlignment="1" applyProtection="1">
      <alignment horizontal="left"/>
      <protection hidden="1"/>
    </xf>
    <xf numFmtId="0" fontId="20" fillId="0" borderId="43" xfId="0" applyFont="1" applyBorder="1" applyAlignment="1" applyProtection="1">
      <alignment horizontal="left"/>
      <protection hidden="1"/>
    </xf>
    <xf numFmtId="202" fontId="29" fillId="5" borderId="25" xfId="0" applyNumberFormat="1" applyFont="1" applyFill="1" applyBorder="1" applyAlignment="1" applyProtection="1">
      <alignment horizontal="right" vertical="center"/>
      <protection locked="0"/>
    </xf>
    <xf numFmtId="0" fontId="29" fillId="5" borderId="25" xfId="0" applyFont="1" applyFill="1" applyBorder="1" applyAlignment="1" applyProtection="1">
      <alignment horizontal="right" vertical="center"/>
      <protection locked="0"/>
    </xf>
    <xf numFmtId="187" fontId="16" fillId="0" borderId="20" xfId="0" applyNumberFormat="1" applyFont="1" applyFill="1" applyBorder="1" applyAlignment="1" applyProtection="1">
      <alignment vertical="center"/>
      <protection hidden="1"/>
    </xf>
    <xf numFmtId="174" fontId="0" fillId="0" borderId="23" xfId="0" applyNumberFormat="1" applyFont="1" applyBorder="1" applyAlignment="1" applyProtection="1">
      <alignment horizontal="left" vertical="center"/>
      <protection hidden="1"/>
    </xf>
    <xf numFmtId="0" fontId="28" fillId="0" borderId="36" xfId="0" applyFont="1" applyFill="1" applyBorder="1" applyAlignment="1" applyProtection="1">
      <alignment horizontal="right" vertical="center"/>
      <protection hidden="1"/>
    </xf>
    <xf numFmtId="0" fontId="28" fillId="0" borderId="0" xfId="0" applyFont="1" applyAlignment="1" applyProtection="1">
      <alignment horizontal="left" vertical="center"/>
      <protection hidden="1"/>
    </xf>
    <xf numFmtId="184" fontId="16" fillId="0" borderId="26" xfId="0" applyNumberFormat="1" applyFont="1" applyFill="1" applyBorder="1" applyAlignment="1" applyProtection="1">
      <alignment vertical="center"/>
      <protection hidden="1"/>
    </xf>
    <xf numFmtId="0" fontId="16" fillId="0" borderId="0" xfId="0" applyFont="1" applyBorder="1" applyAlignment="1" applyProtection="1">
      <alignment horizontal="center" vertical="center" wrapText="1"/>
      <protection hidden="1"/>
    </xf>
    <xf numFmtId="171" fontId="16" fillId="4" borderId="20" xfId="0" applyNumberFormat="1" applyFont="1" applyFill="1" applyBorder="1" applyAlignment="1" applyProtection="1">
      <alignment vertical="center"/>
      <protection hidden="1"/>
    </xf>
    <xf numFmtId="0" fontId="0" fillId="0" borderId="36" xfId="0" applyFont="1" applyBorder="1" applyAlignment="1" applyProtection="1">
      <alignment horizontal="right" vertical="center"/>
      <protection hidden="1"/>
    </xf>
    <xf numFmtId="169" fontId="16" fillId="0" borderId="20" xfId="0" applyNumberFormat="1" applyFont="1" applyFill="1" applyBorder="1" applyAlignment="1" applyProtection="1">
      <alignment horizontal="right" vertical="center"/>
      <protection hidden="1"/>
    </xf>
    <xf numFmtId="0" fontId="0" fillId="0" borderId="23" xfId="0" applyFont="1" applyBorder="1" applyAlignment="1" applyProtection="1">
      <alignment vertical="center"/>
      <protection hidden="1"/>
    </xf>
    <xf numFmtId="0" fontId="30" fillId="0" borderId="19" xfId="0" applyFont="1" applyBorder="1" applyAlignment="1" applyProtection="1">
      <alignment vertical="center"/>
      <protection hidden="1"/>
    </xf>
    <xf numFmtId="188" fontId="16" fillId="0" borderId="20" xfId="0" applyNumberFormat="1" applyFont="1" applyBorder="1" applyAlignment="1" applyProtection="1">
      <alignment vertical="center"/>
      <protection hidden="1"/>
    </xf>
    <xf numFmtId="0" fontId="0" fillId="0" borderId="36" xfId="0" applyFont="1" applyBorder="1" applyAlignment="1" applyProtection="1">
      <alignment vertical="center"/>
      <protection hidden="1"/>
    </xf>
    <xf numFmtId="180" fontId="29" fillId="5" borderId="22" xfId="0" applyNumberFormat="1" applyFont="1" applyFill="1" applyBorder="1" applyAlignment="1" applyProtection="1">
      <alignment vertical="center"/>
      <protection locked="0"/>
    </xf>
    <xf numFmtId="0" fontId="0" fillId="0" borderId="53" xfId="0" applyFont="1" applyFill="1" applyBorder="1" applyAlignment="1" applyProtection="1">
      <alignment horizontal="left"/>
      <protection hidden="1"/>
    </xf>
    <xf numFmtId="2" fontId="16" fillId="3" borderId="54" xfId="0" applyNumberFormat="1" applyFont="1" applyFill="1" applyBorder="1" applyAlignment="1" applyProtection="1">
      <alignment horizontal="center" vertical="center"/>
      <protection hidden="1"/>
    </xf>
    <xf numFmtId="0" fontId="3" fillId="0" borderId="36" xfId="0" applyFont="1" applyFill="1" applyBorder="1" applyAlignment="1" applyProtection="1">
      <alignment horizontal="right" vertical="center"/>
      <protection hidden="1"/>
    </xf>
    <xf numFmtId="0" fontId="0" fillId="0" borderId="55" xfId="0" applyFont="1" applyBorder="1" applyAlignment="1" applyProtection="1">
      <alignment vertical="center"/>
      <protection hidden="1"/>
    </xf>
    <xf numFmtId="0" fontId="0" fillId="0" borderId="56" xfId="0" applyFont="1" applyFill="1" applyBorder="1" applyAlignment="1" applyProtection="1">
      <alignment horizontal="left"/>
      <protection hidden="1"/>
    </xf>
    <xf numFmtId="2" fontId="16" fillId="3" borderId="57" xfId="0" applyNumberFormat="1" applyFont="1" applyFill="1" applyBorder="1" applyAlignment="1" applyProtection="1">
      <alignment horizontal="center" vertical="center"/>
      <protection hidden="1"/>
    </xf>
    <xf numFmtId="188" fontId="16" fillId="0" borderId="22" xfId="0" applyNumberFormat="1" applyFont="1" applyFill="1" applyBorder="1" applyAlignment="1" applyProtection="1">
      <alignment vertical="center"/>
      <protection hidden="1"/>
    </xf>
    <xf numFmtId="169" fontId="16" fillId="0" borderId="20" xfId="0" applyNumberFormat="1" applyFont="1" applyBorder="1" applyAlignment="1" applyProtection="1">
      <alignment vertical="center"/>
      <protection hidden="1"/>
    </xf>
    <xf numFmtId="0" fontId="0" fillId="0" borderId="43" xfId="0" applyFont="1" applyBorder="1" applyAlignment="1" applyProtection="1">
      <alignment vertical="center"/>
      <protection hidden="1"/>
    </xf>
    <xf numFmtId="180" fontId="16" fillId="0" borderId="25" xfId="0" applyNumberFormat="1" applyFont="1" applyBorder="1" applyAlignment="1" applyProtection="1">
      <alignment vertical="center"/>
      <protection hidden="1"/>
    </xf>
    <xf numFmtId="171" fontId="16" fillId="4" borderId="26" xfId="0" applyNumberFormat="1" applyFont="1" applyFill="1" applyBorder="1" applyAlignment="1" applyProtection="1">
      <alignment horizontal="right" vertical="center"/>
      <protection hidden="1"/>
    </xf>
    <xf numFmtId="0" fontId="0" fillId="0" borderId="58" xfId="0" applyFont="1" applyFill="1" applyBorder="1" applyAlignment="1" applyProtection="1">
      <alignment horizontal="left"/>
      <protection hidden="1"/>
    </xf>
    <xf numFmtId="2" fontId="16" fillId="3" borderId="59" xfId="0" applyNumberFormat="1" applyFont="1" applyFill="1" applyBorder="1" applyAlignment="1" applyProtection="1">
      <alignment horizontal="center" vertical="center"/>
      <protection hidden="1"/>
    </xf>
    <xf numFmtId="0" fontId="28" fillId="0" borderId="32" xfId="0" applyFont="1" applyBorder="1" applyAlignment="1" applyProtection="1">
      <alignment horizontal="left" vertical="center"/>
      <protection hidden="1"/>
    </xf>
    <xf numFmtId="0" fontId="23" fillId="0" borderId="24" xfId="0" applyFont="1" applyBorder="1" applyAlignment="1" applyProtection="1">
      <alignment horizontal="left" vertical="center"/>
      <protection hidden="1"/>
    </xf>
    <xf numFmtId="185" fontId="16" fillId="0" borderId="27" xfId="0" applyNumberFormat="1" applyFont="1" applyBorder="1" applyAlignment="1" applyProtection="1">
      <alignment vertical="center"/>
      <protection hidden="1"/>
    </xf>
    <xf numFmtId="0" fontId="0" fillId="0" borderId="43" xfId="0" applyFont="1" applyBorder="1" applyAlignment="1" applyProtection="1">
      <alignment horizontal="right" vertical="center"/>
      <protection hidden="1"/>
    </xf>
    <xf numFmtId="203" fontId="16" fillId="0" borderId="26" xfId="0" applyNumberFormat="1" applyFont="1" applyBorder="1" applyAlignment="1" applyProtection="1">
      <alignment vertical="center"/>
      <protection hidden="1"/>
    </xf>
    <xf numFmtId="177" fontId="27" fillId="0" borderId="0" xfId="0" applyNumberFormat="1" applyFont="1" applyAlignment="1" applyProtection="1">
      <alignment horizontal="right" vertical="center"/>
      <protection hidden="1"/>
    </xf>
    <xf numFmtId="0" fontId="3" fillId="6" borderId="0" xfId="0" applyFont="1" applyFill="1" applyAlignment="1" applyProtection="1">
      <alignment vertical="center"/>
      <protection hidden="1"/>
    </xf>
    <xf numFmtId="0" fontId="0" fillId="6" borderId="0" xfId="0" applyFont="1" applyFill="1" applyAlignment="1" applyProtection="1">
      <alignment vertical="center"/>
      <protection hidden="1"/>
    </xf>
    <xf numFmtId="0" fontId="0" fillId="0" borderId="11" xfId="0" applyFont="1" applyBorder="1" applyAlignment="1" applyProtection="1">
      <alignment vertical="center"/>
      <protection hidden="1"/>
    </xf>
    <xf numFmtId="0" fontId="20" fillId="0" borderId="13" xfId="0" applyFont="1" applyBorder="1" applyAlignment="1" applyProtection="1">
      <alignment horizontal="center"/>
      <protection hidden="1"/>
    </xf>
    <xf numFmtId="167" fontId="29" fillId="5" borderId="14" xfId="0" applyNumberFormat="1" applyFont="1" applyFill="1" applyBorder="1" applyAlignment="1" applyProtection="1">
      <alignment vertical="center"/>
      <protection locked="0"/>
    </xf>
    <xf numFmtId="0" fontId="20" fillId="0" borderId="27" xfId="0" applyFont="1" applyBorder="1" applyAlignment="1" applyProtection="1">
      <alignment horizontal="center"/>
      <protection hidden="1"/>
    </xf>
    <xf numFmtId="167" fontId="29" fillId="5" borderId="26" xfId="0" applyNumberFormat="1" applyFont="1" applyFill="1" applyBorder="1" applyAlignment="1" applyProtection="1">
      <alignment vertical="center"/>
      <protection locked="0"/>
    </xf>
    <xf numFmtId="0" fontId="16" fillId="0" borderId="45" xfId="0" applyNumberFormat="1"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Alignment="1" applyProtection="1">
      <alignment horizontal="center" vertical="center"/>
      <protection hidden="1"/>
    </xf>
    <xf numFmtId="197" fontId="16" fillId="0" borderId="60" xfId="0" applyNumberFormat="1" applyFont="1" applyFill="1" applyBorder="1" applyAlignment="1" applyProtection="1">
      <alignment vertical="center"/>
      <protection hidden="1"/>
    </xf>
    <xf numFmtId="16" fontId="0"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41" fillId="0" borderId="0" xfId="0" applyFont="1" applyAlignment="1" applyProtection="1">
      <alignment vertical="center"/>
      <protection hidden="1"/>
    </xf>
    <xf numFmtId="0" fontId="0" fillId="0" borderId="36" xfId="0" applyFont="1" applyFill="1" applyBorder="1" applyAlignment="1" applyProtection="1">
      <alignment horizontal="right"/>
      <protection hidden="1"/>
    </xf>
    <xf numFmtId="182" fontId="0" fillId="0" borderId="23" xfId="0" applyNumberFormat="1" applyFont="1" applyBorder="1" applyAlignment="1" applyProtection="1">
      <alignment horizontal="left"/>
      <protection hidden="1"/>
    </xf>
    <xf numFmtId="0" fontId="28" fillId="0" borderId="0" xfId="0" applyFont="1" applyBorder="1" applyAlignment="1" applyProtection="1">
      <alignment textRotation="90"/>
      <protection hidden="1"/>
    </xf>
    <xf numFmtId="182" fontId="0" fillId="0" borderId="24" xfId="0" applyNumberFormat="1" applyFont="1" applyBorder="1" applyAlignment="1" applyProtection="1">
      <alignment horizontal="left"/>
      <protection hidden="1"/>
    </xf>
    <xf numFmtId="0" fontId="16" fillId="0" borderId="12" xfId="0" applyFont="1" applyBorder="1" applyAlignment="1" applyProtection="1">
      <alignment vertical="center"/>
      <protection hidden="1"/>
    </xf>
    <xf numFmtId="0" fontId="28" fillId="0" borderId="36" xfId="0" applyFont="1" applyFill="1" applyBorder="1" applyAlignment="1" applyProtection="1">
      <alignment horizontal="left" vertical="center"/>
      <protection hidden="1"/>
    </xf>
    <xf numFmtId="16" fontId="29" fillId="2" borderId="13" xfId="0" applyNumberFormat="1" applyFont="1" applyFill="1" applyBorder="1" applyAlignment="1" applyProtection="1">
      <alignment horizontal="center" vertical="center"/>
      <protection locked="0"/>
    </xf>
    <xf numFmtId="0" fontId="35" fillId="0" borderId="36" xfId="0" applyFont="1" applyFill="1" applyBorder="1" applyAlignment="1" applyProtection="1">
      <alignment horizontal="left" vertical="center"/>
      <protection hidden="1"/>
    </xf>
    <xf numFmtId="0" fontId="3" fillId="0" borderId="52" xfId="0" applyFont="1" applyBorder="1" applyAlignment="1" applyProtection="1">
      <alignment horizontal="right" vertical="center"/>
      <protection hidden="1"/>
    </xf>
    <xf numFmtId="0" fontId="0" fillId="0" borderId="36" xfId="0" applyFont="1" applyFill="1" applyBorder="1" applyAlignment="1" applyProtection="1">
      <alignment horizontal="left" vertical="center"/>
      <protection hidden="1"/>
    </xf>
    <xf numFmtId="1" fontId="29" fillId="2" borderId="22" xfId="0" applyNumberFormat="1" applyFont="1" applyFill="1" applyBorder="1" applyAlignment="1" applyProtection="1">
      <alignment vertical="center"/>
      <protection locked="0"/>
    </xf>
    <xf numFmtId="1" fontId="29" fillId="2" borderId="20" xfId="0" applyNumberFormat="1" applyFont="1" applyFill="1" applyBorder="1" applyAlignment="1" applyProtection="1">
      <alignment vertical="center"/>
      <protection locked="0"/>
    </xf>
    <xf numFmtId="0" fontId="16" fillId="0" borderId="36" xfId="0" applyFont="1" applyFill="1" applyBorder="1" applyAlignment="1" applyProtection="1">
      <alignment horizontal="left" vertical="center"/>
      <protection hidden="1"/>
    </xf>
    <xf numFmtId="0" fontId="35" fillId="0" borderId="36" xfId="0" applyFont="1" applyBorder="1" applyAlignment="1" applyProtection="1">
      <alignment vertical="center"/>
      <protection hidden="1"/>
    </xf>
    <xf numFmtId="0" fontId="35" fillId="0" borderId="36" xfId="0" applyFont="1" applyBorder="1" applyAlignment="1" applyProtection="1">
      <alignment horizontal="right" vertical="center"/>
      <protection hidden="1"/>
    </xf>
    <xf numFmtId="0" fontId="0" fillId="0" borderId="33" xfId="0" applyFont="1" applyBorder="1" applyAlignment="1" applyProtection="1">
      <alignment horizontal="left"/>
      <protection hidden="1"/>
    </xf>
    <xf numFmtId="0" fontId="0" fillId="0" borderId="17" xfId="0" applyFont="1" applyBorder="1" applyAlignment="1" applyProtection="1">
      <alignment horizontal="left"/>
      <protection hidden="1"/>
    </xf>
    <xf numFmtId="3" fontId="29" fillId="5" borderId="20" xfId="0" applyNumberFormat="1" applyFont="1" applyFill="1" applyBorder="1" applyAlignment="1" applyProtection="1">
      <alignment horizontal="center" vertical="center"/>
      <protection locked="0"/>
    </xf>
    <xf numFmtId="0" fontId="20" fillId="0" borderId="13" xfId="0" applyFont="1" applyBorder="1" applyAlignment="1" applyProtection="1">
      <alignment horizontal="left"/>
      <protection hidden="1"/>
    </xf>
    <xf numFmtId="0" fontId="20" fillId="0" borderId="27" xfId="0" applyFont="1" applyBorder="1" applyAlignment="1" applyProtection="1">
      <alignment horizontal="left"/>
      <protection hidden="1"/>
    </xf>
    <xf numFmtId="203" fontId="16" fillId="0" borderId="26" xfId="0" applyNumberFormat="1" applyFont="1" applyFill="1" applyBorder="1" applyAlignment="1" applyProtection="1">
      <alignment vertical="center"/>
      <protection hidden="1"/>
    </xf>
    <xf numFmtId="0" fontId="42" fillId="0" borderId="36" xfId="0" applyFont="1" applyBorder="1" applyAlignment="1" applyProtection="1">
      <alignment horizontal="right" vertical="center"/>
      <protection hidden="1"/>
    </xf>
    <xf numFmtId="171" fontId="16" fillId="0" borderId="26" xfId="0" applyNumberFormat="1" applyFont="1" applyBorder="1" applyAlignment="1" applyProtection="1">
      <alignment horizontal="right" vertical="center"/>
      <protection hidden="1"/>
    </xf>
    <xf numFmtId="0" fontId="0" fillId="0" borderId="36" xfId="0" applyFont="1" applyBorder="1" applyAlignment="1" applyProtection="1">
      <alignment horizontal="left" vertical="center"/>
      <protection hidden="1"/>
    </xf>
    <xf numFmtId="174" fontId="0" fillId="0" borderId="24" xfId="0" applyNumberFormat="1" applyFont="1" applyBorder="1" applyAlignment="1" applyProtection="1">
      <alignment horizontal="left" vertical="center"/>
      <protection hidden="1"/>
    </xf>
    <xf numFmtId="0" fontId="29" fillId="0" borderId="0" xfId="0" applyFont="1" applyAlignment="1" applyProtection="1">
      <alignment vertical="center"/>
      <protection hidden="1"/>
    </xf>
    <xf numFmtId="187" fontId="23" fillId="0" borderId="0" xfId="0" applyNumberFormat="1" applyFont="1" applyAlignment="1" applyProtection="1">
      <alignment vertical="center"/>
      <protection hidden="1"/>
    </xf>
    <xf numFmtId="11" fontId="16" fillId="0" borderId="0" xfId="0" applyNumberFormat="1" applyFont="1" applyAlignment="1" applyProtection="1">
      <alignment vertical="center"/>
      <protection hidden="1"/>
    </xf>
    <xf numFmtId="0" fontId="0" fillId="0" borderId="0" xfId="0" applyAlignment="1" applyProtection="1">
      <alignment horizontal="right"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29" fillId="5" borderId="0" xfId="0" applyFont="1" applyFill="1" applyAlignment="1" applyProtection="1">
      <alignment horizontal="left" vertical="center"/>
      <protection locked="0"/>
    </xf>
    <xf numFmtId="0" fontId="29" fillId="5" borderId="0" xfId="0" applyFont="1" applyFill="1" applyAlignment="1" applyProtection="1">
      <alignment vertical="center"/>
      <protection locked="0"/>
    </xf>
    <xf numFmtId="0" fontId="0" fillId="0" borderId="13" xfId="0" applyFont="1" applyFill="1" applyBorder="1" applyAlignment="1" applyProtection="1">
      <alignment/>
      <protection hidden="1"/>
    </xf>
    <xf numFmtId="192" fontId="29" fillId="5" borderId="14" xfId="0" applyNumberFormat="1" applyFont="1" applyFill="1" applyBorder="1" applyAlignment="1" applyProtection="1">
      <alignment vertical="center"/>
      <protection locked="0"/>
    </xf>
    <xf numFmtId="0" fontId="28" fillId="0" borderId="0" xfId="0" applyFont="1" applyAlignment="1" applyProtection="1">
      <alignment vertical="center" textRotation="90" wrapText="1"/>
      <protection hidden="1"/>
    </xf>
    <xf numFmtId="0" fontId="0" fillId="0" borderId="23" xfId="0" applyBorder="1" applyAlignment="1" applyProtection="1">
      <alignment vertical="center"/>
      <protection hidden="1"/>
    </xf>
    <xf numFmtId="0" fontId="28" fillId="0" borderId="19" xfId="0" applyFont="1" applyFill="1" applyBorder="1" applyAlignment="1" applyProtection="1">
      <alignment/>
      <protection hidden="1"/>
    </xf>
    <xf numFmtId="1" fontId="29" fillId="5" borderId="20" xfId="0" applyNumberFormat="1" applyFont="1" applyFill="1" applyBorder="1" applyAlignment="1" applyProtection="1">
      <alignment horizontal="right" vertical="center"/>
      <protection locked="0"/>
    </xf>
    <xf numFmtId="0" fontId="0" fillId="0" borderId="19" xfId="0" applyFont="1" applyFill="1" applyBorder="1" applyAlignment="1" applyProtection="1">
      <alignment/>
      <protection hidden="1"/>
    </xf>
    <xf numFmtId="1" fontId="29" fillId="5" borderId="20" xfId="0" applyNumberFormat="1" applyFont="1" applyFill="1" applyBorder="1" applyAlignment="1" applyProtection="1">
      <alignment vertical="center"/>
      <protection locked="0"/>
    </xf>
    <xf numFmtId="0" fontId="28" fillId="0" borderId="0" xfId="0" applyFont="1" applyAlignment="1" applyProtection="1">
      <alignment horizontal="left" vertical="center" textRotation="90"/>
      <protection hidden="1"/>
    </xf>
    <xf numFmtId="0" fontId="30" fillId="0" borderId="19" xfId="0" applyFont="1" applyFill="1" applyBorder="1" applyAlignment="1" applyProtection="1">
      <alignment/>
      <protection hidden="1"/>
    </xf>
    <xf numFmtId="2" fontId="29" fillId="5" borderId="20" xfId="0" applyNumberFormat="1" applyFont="1" applyFill="1" applyBorder="1" applyAlignment="1" applyProtection="1">
      <alignment vertical="center"/>
      <protection locked="0"/>
    </xf>
    <xf numFmtId="0" fontId="0" fillId="0" borderId="27" xfId="0" applyFont="1" applyFill="1" applyBorder="1" applyAlignment="1" applyProtection="1">
      <alignment/>
      <protection hidden="1"/>
    </xf>
    <xf numFmtId="206" fontId="29" fillId="2" borderId="26" xfId="0" applyNumberFormat="1" applyFont="1" applyFill="1" applyBorder="1" applyAlignment="1" applyProtection="1">
      <alignment horizontal="right" vertical="center"/>
      <protection locked="0"/>
    </xf>
    <xf numFmtId="0" fontId="20" fillId="0" borderId="16" xfId="0" applyFont="1" applyFill="1" applyBorder="1" applyAlignment="1" applyProtection="1">
      <alignment/>
      <protection hidden="1"/>
    </xf>
    <xf numFmtId="185" fontId="29" fillId="5" borderId="14" xfId="0" applyNumberFormat="1" applyFont="1" applyFill="1" applyBorder="1" applyAlignment="1" applyProtection="1">
      <alignment horizontal="right" vertical="center"/>
      <protection locked="0"/>
    </xf>
    <xf numFmtId="0" fontId="28" fillId="0" borderId="33" xfId="0" applyFont="1" applyBorder="1" applyAlignment="1" applyProtection="1">
      <alignment vertical="center" textRotation="90"/>
      <protection hidden="1"/>
    </xf>
    <xf numFmtId="0" fontId="28" fillId="0" borderId="0" xfId="0" applyFont="1" applyBorder="1" applyAlignment="1" applyProtection="1">
      <alignment vertical="center"/>
      <protection hidden="1"/>
    </xf>
    <xf numFmtId="0" fontId="20" fillId="0" borderId="22" xfId="0" applyFont="1" applyFill="1" applyBorder="1" applyAlignment="1" applyProtection="1">
      <alignment/>
      <protection hidden="1"/>
    </xf>
    <xf numFmtId="185" fontId="29" fillId="5" borderId="20" xfId="0" applyNumberFormat="1" applyFont="1" applyFill="1" applyBorder="1" applyAlignment="1" applyProtection="1">
      <alignment horizontal="right" vertical="center"/>
      <protection locked="0"/>
    </xf>
    <xf numFmtId="0" fontId="0" fillId="0" borderId="32" xfId="0" applyBorder="1" applyAlignment="1" applyProtection="1">
      <alignment vertical="center"/>
      <protection hidden="1"/>
    </xf>
    <xf numFmtId="203" fontId="16" fillId="0" borderId="14" xfId="0" applyNumberFormat="1" applyFont="1" applyFill="1" applyBorder="1" applyAlignment="1" applyProtection="1">
      <alignment horizontal="right" vertical="center"/>
      <protection hidden="1"/>
    </xf>
    <xf numFmtId="0" fontId="28" fillId="0" borderId="19" xfId="0" applyFont="1" applyBorder="1" applyAlignment="1" applyProtection="1">
      <alignment vertical="center"/>
      <protection hidden="1"/>
    </xf>
    <xf numFmtId="166" fontId="29" fillId="2" borderId="19" xfId="0" applyNumberFormat="1" applyFont="1" applyFill="1" applyBorder="1" applyAlignment="1" applyProtection="1">
      <alignment horizontal="center" vertical="center"/>
      <protection locked="0"/>
    </xf>
    <xf numFmtId="178" fontId="29" fillId="5" borderId="20" xfId="0" applyNumberFormat="1" applyFont="1" applyFill="1" applyBorder="1" applyAlignment="1" applyProtection="1">
      <alignment horizontal="center" vertical="center"/>
      <protection locked="0"/>
    </xf>
    <xf numFmtId="0" fontId="0" fillId="0" borderId="24" xfId="0" applyFont="1" applyBorder="1" applyAlignment="1" applyProtection="1">
      <alignment vertical="center"/>
      <protection hidden="1"/>
    </xf>
    <xf numFmtId="0" fontId="0" fillId="0" borderId="27" xfId="0" applyBorder="1" applyAlignment="1" applyProtection="1">
      <alignment vertical="center"/>
      <protection hidden="1"/>
    </xf>
    <xf numFmtId="0" fontId="30" fillId="0" borderId="43" xfId="0" applyFont="1" applyBorder="1" applyAlignment="1" applyProtection="1">
      <alignment vertical="center"/>
      <protection hidden="1"/>
    </xf>
    <xf numFmtId="185" fontId="16" fillId="0" borderId="26" xfId="0" applyNumberFormat="1" applyFont="1" applyFill="1" applyBorder="1" applyAlignment="1" applyProtection="1">
      <alignment horizontal="right" vertical="center"/>
      <protection hidden="1"/>
    </xf>
    <xf numFmtId="0" fontId="30" fillId="0" borderId="19" xfId="0" applyFont="1" applyFill="1" applyBorder="1" applyAlignment="1" applyProtection="1">
      <alignment horizontal="center"/>
      <protection hidden="1"/>
    </xf>
    <xf numFmtId="167" fontId="29" fillId="5" borderId="20" xfId="0" applyNumberFormat="1" applyFont="1" applyFill="1" applyBorder="1" applyAlignment="1" applyProtection="1">
      <alignment horizontal="right" vertical="center"/>
      <protection locked="0"/>
    </xf>
    <xf numFmtId="207" fontId="29" fillId="5" borderId="20" xfId="0" applyNumberFormat="1" applyFont="1" applyFill="1" applyBorder="1" applyAlignment="1" applyProtection="1">
      <alignment horizontal="right" vertical="center"/>
      <protection locked="0"/>
    </xf>
    <xf numFmtId="0" fontId="0" fillId="0" borderId="35" xfId="0" applyFont="1" applyFill="1" applyBorder="1" applyAlignment="1" applyProtection="1">
      <alignment/>
      <protection hidden="1"/>
    </xf>
    <xf numFmtId="0" fontId="0" fillId="0" borderId="23" xfId="0" applyFont="1" applyFill="1" applyBorder="1" applyAlignment="1" applyProtection="1">
      <alignment/>
      <protection hidden="1"/>
    </xf>
    <xf numFmtId="0" fontId="28" fillId="0" borderId="19" xfId="0" applyFont="1" applyBorder="1" applyAlignment="1" applyProtection="1">
      <alignment vertical="center"/>
      <protection hidden="1"/>
    </xf>
    <xf numFmtId="184" fontId="29" fillId="2" borderId="36" xfId="0" applyNumberFormat="1" applyFont="1" applyFill="1" applyBorder="1" applyAlignment="1" applyProtection="1">
      <alignment vertical="center"/>
      <protection locked="0"/>
    </xf>
    <xf numFmtId="184" fontId="29" fillId="2" borderId="20" xfId="0" applyNumberFormat="1" applyFont="1" applyFill="1" applyBorder="1" applyAlignment="1" applyProtection="1">
      <alignment horizontal="right" vertical="center"/>
      <protection locked="0"/>
    </xf>
    <xf numFmtId="0" fontId="0" fillId="0" borderId="36" xfId="0" applyFont="1" applyFill="1" applyBorder="1" applyAlignment="1" applyProtection="1">
      <alignment/>
      <protection hidden="1"/>
    </xf>
    <xf numFmtId="0" fontId="0" fillId="0" borderId="24" xfId="0" applyFont="1" applyFill="1" applyBorder="1" applyAlignment="1" applyProtection="1">
      <alignment/>
      <protection hidden="1"/>
    </xf>
    <xf numFmtId="0" fontId="28" fillId="0" borderId="27" xfId="0" applyFont="1" applyBorder="1" applyAlignment="1" applyProtection="1">
      <alignment vertical="center"/>
      <protection hidden="1"/>
    </xf>
    <xf numFmtId="208" fontId="29" fillId="5" borderId="43" xfId="0" applyNumberFormat="1" applyFont="1" applyFill="1" applyBorder="1" applyAlignment="1" applyProtection="1">
      <alignment vertical="center"/>
      <protection locked="0"/>
    </xf>
    <xf numFmtId="208" fontId="16" fillId="0" borderId="26" xfId="0" applyNumberFormat="1" applyFont="1" applyFill="1" applyBorder="1" applyAlignment="1" applyProtection="1">
      <alignment horizontal="right" vertical="center"/>
      <protection hidden="1"/>
    </xf>
    <xf numFmtId="180" fontId="16" fillId="4" borderId="19" xfId="0" applyNumberFormat="1" applyFont="1" applyFill="1" applyBorder="1" applyAlignment="1" applyProtection="1">
      <alignment vertical="center"/>
      <protection hidden="1"/>
    </xf>
    <xf numFmtId="207" fontId="29" fillId="5" borderId="20" xfId="0" applyNumberFormat="1" applyFont="1" applyFill="1" applyBorder="1" applyAlignment="1" applyProtection="1">
      <alignment horizontal="center" vertical="center"/>
      <protection locked="0"/>
    </xf>
    <xf numFmtId="0" fontId="29" fillId="5" borderId="12" xfId="0" applyNumberFormat="1" applyFont="1" applyFill="1" applyBorder="1" applyAlignment="1" applyProtection="1">
      <alignment horizontal="center" vertical="center"/>
      <protection locked="0"/>
    </xf>
    <xf numFmtId="0" fontId="20" fillId="0" borderId="35" xfId="0" applyFont="1" applyFill="1" applyBorder="1" applyAlignment="1" applyProtection="1">
      <alignment/>
      <protection hidden="1"/>
    </xf>
    <xf numFmtId="0" fontId="0" fillId="0" borderId="24" xfId="0" applyBorder="1" applyAlignment="1" applyProtection="1">
      <alignment vertical="center"/>
      <protection hidden="1"/>
    </xf>
    <xf numFmtId="171" fontId="29" fillId="5" borderId="26" xfId="0" applyNumberFormat="1" applyFont="1" applyFill="1" applyBorder="1" applyAlignment="1" applyProtection="1">
      <alignment horizontal="center" vertical="center"/>
      <protection locked="0"/>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20" fillId="0" borderId="36" xfId="0" applyFont="1" applyFill="1" applyBorder="1" applyAlignment="1" applyProtection="1">
      <alignment/>
      <protection hidden="1"/>
    </xf>
    <xf numFmtId="0" fontId="0" fillId="0" borderId="24" xfId="0" applyFill="1" applyBorder="1" applyAlignment="1" applyProtection="1">
      <alignment vertical="center"/>
      <protection hidden="1"/>
    </xf>
    <xf numFmtId="1" fontId="29" fillId="5" borderId="27"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protection hidden="1"/>
    </xf>
    <xf numFmtId="0" fontId="30" fillId="0" borderId="35" xfId="0" applyFont="1" applyFill="1" applyBorder="1" applyAlignment="1" applyProtection="1">
      <alignment/>
      <protection hidden="1"/>
    </xf>
    <xf numFmtId="185" fontId="16" fillId="0" borderId="14" xfId="0" applyNumberFormat="1" applyFont="1" applyFill="1" applyBorder="1" applyAlignment="1" applyProtection="1">
      <alignment horizontal="right" vertical="center"/>
      <protection hidden="1"/>
    </xf>
    <xf numFmtId="0" fontId="30" fillId="0" borderId="36" xfId="0" applyFont="1" applyFill="1" applyBorder="1" applyAlignment="1" applyProtection="1">
      <alignment/>
      <protection hidden="1"/>
    </xf>
    <xf numFmtId="185" fontId="16" fillId="0" borderId="20" xfId="0" applyNumberFormat="1" applyFont="1" applyFill="1" applyBorder="1" applyAlignment="1" applyProtection="1">
      <alignment horizontal="right" vertical="center"/>
      <protection hidden="1"/>
    </xf>
    <xf numFmtId="0" fontId="0" fillId="0" borderId="13" xfId="0" applyFont="1" applyBorder="1" applyAlignment="1" applyProtection="1">
      <alignment horizontal="center" vertical="center"/>
      <protection hidden="1"/>
    </xf>
    <xf numFmtId="0" fontId="30" fillId="0" borderId="43" xfId="0" applyFont="1" applyFill="1" applyBorder="1" applyAlignment="1" applyProtection="1">
      <alignment/>
      <protection hidden="1"/>
    </xf>
    <xf numFmtId="0" fontId="0" fillId="0" borderId="27" xfId="0" applyFont="1" applyBorder="1" applyAlignment="1" applyProtection="1">
      <alignment horizontal="center" vertical="center"/>
      <protection hidden="1"/>
    </xf>
    <xf numFmtId="0" fontId="0" fillId="0" borderId="21" xfId="0" applyFont="1" applyBorder="1" applyAlignment="1" applyProtection="1">
      <alignment vertical="center"/>
      <protection hidden="1"/>
    </xf>
    <xf numFmtId="0" fontId="20" fillId="0" borderId="22" xfId="0" applyFont="1" applyBorder="1" applyAlignment="1" applyProtection="1">
      <alignment horizontal="center"/>
      <protection hidden="1"/>
    </xf>
    <xf numFmtId="167" fontId="16" fillId="0" borderId="22" xfId="0" applyNumberFormat="1" applyFont="1" applyFill="1" applyBorder="1" applyAlignment="1" applyProtection="1">
      <alignment vertical="center"/>
      <protection hidden="1"/>
    </xf>
    <xf numFmtId="173" fontId="16" fillId="0" borderId="20" xfId="0" applyNumberFormat="1" applyFont="1" applyFill="1" applyBorder="1" applyAlignment="1" applyProtection="1">
      <alignment vertical="center"/>
      <protection hidden="1"/>
    </xf>
    <xf numFmtId="182" fontId="0" fillId="0" borderId="23" xfId="0" applyNumberFormat="1" applyFont="1" applyBorder="1" applyAlignment="1" applyProtection="1">
      <alignment horizontal="left"/>
      <protection hidden="1"/>
    </xf>
    <xf numFmtId="0" fontId="0" fillId="0" borderId="19" xfId="0" applyFont="1" applyFill="1" applyBorder="1" applyAlignment="1" applyProtection="1">
      <alignment horizontal="center" vertical="center"/>
      <protection hidden="1"/>
    </xf>
    <xf numFmtId="184" fontId="16" fillId="0" borderId="20" xfId="0" applyNumberFormat="1" applyFont="1" applyFill="1" applyBorder="1" applyAlignment="1" applyProtection="1">
      <alignment vertical="center"/>
      <protection hidden="1"/>
    </xf>
    <xf numFmtId="0" fontId="0" fillId="0" borderId="61" xfId="0" applyBorder="1" applyAlignment="1" applyProtection="1">
      <alignment vertical="center"/>
      <protection hidden="1"/>
    </xf>
    <xf numFmtId="0" fontId="0" fillId="0" borderId="5" xfId="0" applyBorder="1" applyAlignment="1" applyProtection="1">
      <alignment vertical="center"/>
      <protection hidden="1"/>
    </xf>
    <xf numFmtId="0" fontId="0" fillId="0" borderId="62" xfId="0" applyBorder="1" applyAlignment="1" applyProtection="1">
      <alignment vertical="center"/>
      <protection hidden="1"/>
    </xf>
    <xf numFmtId="0" fontId="30" fillId="0" borderId="24" xfId="0" applyFont="1" applyBorder="1" applyAlignment="1" applyProtection="1">
      <alignment horizontal="left"/>
      <protection hidden="1"/>
    </xf>
    <xf numFmtId="185" fontId="16" fillId="0" borderId="26" xfId="0" applyNumberFormat="1" applyFont="1" applyBorder="1" applyAlignment="1" applyProtection="1">
      <alignment vertical="center"/>
      <protection hidden="1"/>
    </xf>
    <xf numFmtId="0" fontId="4" fillId="0" borderId="0" xfId="0" applyFont="1" applyAlignment="1" applyProtection="1">
      <alignment vertical="center"/>
      <protection hidden="1"/>
    </xf>
    <xf numFmtId="203" fontId="29" fillId="5" borderId="14" xfId="0" applyNumberFormat="1" applyFont="1" applyFill="1" applyBorder="1" applyAlignment="1" applyProtection="1">
      <alignment vertical="center"/>
      <protection locked="0"/>
    </xf>
    <xf numFmtId="0" fontId="0" fillId="0" borderId="35" xfId="0" applyFont="1" applyBorder="1" applyAlignment="1" applyProtection="1">
      <alignment vertical="center"/>
      <protection hidden="1"/>
    </xf>
    <xf numFmtId="203" fontId="16" fillId="0" borderId="14" xfId="0" applyNumberFormat="1" applyFont="1" applyFill="1" applyBorder="1" applyAlignment="1" applyProtection="1">
      <alignment vertical="center"/>
      <protection hidden="1"/>
    </xf>
    <xf numFmtId="166" fontId="29" fillId="5" borderId="20" xfId="0" applyNumberFormat="1" applyFont="1" applyFill="1" applyBorder="1" applyAlignment="1" applyProtection="1">
      <alignment vertical="center"/>
      <protection locked="0"/>
    </xf>
    <xf numFmtId="175" fontId="16" fillId="0" borderId="20" xfId="0" applyNumberFormat="1" applyFont="1" applyBorder="1" applyAlignment="1" applyProtection="1">
      <alignment vertical="center"/>
      <protection hidden="1"/>
    </xf>
    <xf numFmtId="207" fontId="29" fillId="5" borderId="20" xfId="0" applyNumberFormat="1" applyFont="1" applyFill="1" applyBorder="1" applyAlignment="1" applyProtection="1">
      <alignment vertical="center"/>
      <protection locked="0"/>
    </xf>
    <xf numFmtId="0" fontId="0" fillId="0" borderId="48" xfId="0" applyFont="1" applyBorder="1" applyAlignment="1" applyProtection="1">
      <alignment vertical="center"/>
      <protection hidden="1"/>
    </xf>
    <xf numFmtId="0" fontId="0" fillId="0" borderId="51" xfId="0" applyFont="1" applyBorder="1" applyAlignment="1" applyProtection="1">
      <alignment vertical="center"/>
      <protection hidden="1"/>
    </xf>
    <xf numFmtId="175" fontId="16" fillId="0" borderId="26" xfId="0" applyNumberFormat="1" applyFont="1" applyBorder="1" applyAlignment="1" applyProtection="1">
      <alignment vertical="center"/>
      <protection hidden="1"/>
    </xf>
    <xf numFmtId="166" fontId="29" fillId="5" borderId="26" xfId="0" applyNumberFormat="1" applyFont="1" applyFill="1" applyBorder="1" applyAlignment="1" applyProtection="1">
      <alignment vertical="center"/>
      <protection locked="0"/>
    </xf>
    <xf numFmtId="195" fontId="16" fillId="0" borderId="14" xfId="0" applyNumberFormat="1" applyFont="1" applyBorder="1" applyAlignment="1" applyProtection="1">
      <alignment vertical="center"/>
      <protection hidden="1"/>
    </xf>
    <xf numFmtId="0" fontId="3" fillId="4" borderId="0" xfId="0" applyFont="1" applyFill="1" applyAlignment="1" applyProtection="1">
      <alignment horizontal="right" vertical="center"/>
      <protection hidden="1"/>
    </xf>
    <xf numFmtId="0" fontId="28" fillId="4" borderId="0" xfId="0" applyFont="1" applyFill="1" applyAlignment="1" applyProtection="1">
      <alignment vertical="center"/>
      <protection hidden="1"/>
    </xf>
    <xf numFmtId="195" fontId="16" fillId="0" borderId="20" xfId="0" applyNumberFormat="1" applyFont="1" applyBorder="1" applyAlignment="1" applyProtection="1">
      <alignment vertical="center"/>
      <protection hidden="1"/>
    </xf>
    <xf numFmtId="195" fontId="16" fillId="0" borderId="26" xfId="0" applyNumberFormat="1" applyFont="1" applyBorder="1" applyAlignment="1" applyProtection="1">
      <alignment vertical="center"/>
      <protection hidden="1"/>
    </xf>
    <xf numFmtId="0" fontId="30" fillId="0" borderId="35" xfId="0" applyFont="1" applyFill="1" applyBorder="1" applyAlignment="1" applyProtection="1">
      <alignment vertical="center"/>
      <protection hidden="1"/>
    </xf>
    <xf numFmtId="166" fontId="16" fillId="0" borderId="14" xfId="0" applyNumberFormat="1" applyFont="1" applyFill="1" applyBorder="1" applyAlignment="1" applyProtection="1">
      <alignment horizontal="right" vertical="center"/>
      <protection hidden="1"/>
    </xf>
    <xf numFmtId="166" fontId="29" fillId="5" borderId="22" xfId="0" applyNumberFormat="1" applyFont="1" applyFill="1" applyBorder="1" applyAlignment="1" applyProtection="1">
      <alignment horizontal="center" vertical="center"/>
      <protection locked="0"/>
    </xf>
    <xf numFmtId="0" fontId="0" fillId="0" borderId="36" xfId="0" applyFont="1" applyBorder="1" applyAlignment="1" applyProtection="1">
      <alignment/>
      <protection hidden="1"/>
    </xf>
    <xf numFmtId="166" fontId="16" fillId="0" borderId="26" xfId="0" applyNumberFormat="1" applyFont="1" applyFill="1" applyBorder="1" applyAlignment="1" applyProtection="1">
      <alignment horizontal="right" vertical="center"/>
      <protection hidden="1"/>
    </xf>
    <xf numFmtId="0" fontId="28" fillId="0" borderId="19" xfId="0" applyFont="1" applyBorder="1" applyAlignment="1" applyProtection="1">
      <alignment horizontal="left" vertical="center"/>
      <protection hidden="1"/>
    </xf>
    <xf numFmtId="0" fontId="28" fillId="0" borderId="0" xfId="0" applyFont="1" applyAlignment="1" applyProtection="1">
      <alignment vertical="center"/>
      <protection hidden="1"/>
    </xf>
    <xf numFmtId="195" fontId="29" fillId="5" borderId="14" xfId="0" applyNumberFormat="1" applyFont="1" applyFill="1" applyBorder="1" applyAlignment="1" applyProtection="1">
      <alignment vertical="center"/>
      <protection locked="0"/>
    </xf>
    <xf numFmtId="171" fontId="16" fillId="0" borderId="20" xfId="0" applyNumberFormat="1" applyFont="1" applyFill="1" applyBorder="1" applyAlignment="1" applyProtection="1">
      <alignment horizontal="right" vertical="center"/>
      <protection hidden="1"/>
    </xf>
    <xf numFmtId="0" fontId="28" fillId="0" borderId="19" xfId="0" applyFont="1" applyBorder="1" applyAlignment="1" applyProtection="1">
      <alignment vertical="center"/>
      <protection hidden="1"/>
    </xf>
    <xf numFmtId="1" fontId="29" fillId="5" borderId="20" xfId="0" applyNumberFormat="1" applyFont="1" applyFill="1" applyBorder="1" applyAlignment="1" applyProtection="1">
      <alignment horizontal="center" vertical="center"/>
      <protection locked="0"/>
    </xf>
    <xf numFmtId="0" fontId="0" fillId="0" borderId="28" xfId="0" applyFont="1" applyBorder="1" applyAlignment="1" applyProtection="1">
      <alignment vertical="center"/>
      <protection hidden="1"/>
    </xf>
    <xf numFmtId="0" fontId="0" fillId="0" borderId="42" xfId="0" applyFont="1" applyBorder="1" applyAlignment="1" applyProtection="1">
      <alignment vertical="center"/>
      <protection hidden="1"/>
    </xf>
    <xf numFmtId="0" fontId="30" fillId="0" borderId="42" xfId="0" applyFont="1" applyBorder="1" applyAlignment="1" applyProtection="1">
      <alignment vertical="center"/>
      <protection hidden="1"/>
    </xf>
    <xf numFmtId="167" fontId="16" fillId="0" borderId="31" xfId="0" applyNumberFormat="1" applyFont="1" applyFill="1" applyBorder="1" applyAlignment="1" applyProtection="1">
      <alignment horizontal="right" vertical="center"/>
      <protection hidden="1"/>
    </xf>
    <xf numFmtId="0" fontId="0" fillId="0" borderId="61" xfId="0" applyFont="1" applyBorder="1" applyAlignment="1" applyProtection="1">
      <alignment vertical="center"/>
      <protection hidden="1"/>
    </xf>
    <xf numFmtId="181" fontId="29" fillId="2" borderId="20" xfId="0" applyNumberFormat="1" applyFont="1" applyFill="1" applyBorder="1" applyAlignment="1" applyProtection="1">
      <alignment vertical="center"/>
      <protection locked="0"/>
    </xf>
    <xf numFmtId="0" fontId="0" fillId="0" borderId="5" xfId="0" applyFont="1" applyBorder="1" applyAlignment="1" applyProtection="1">
      <alignment vertical="center"/>
      <protection hidden="1"/>
    </xf>
    <xf numFmtId="0" fontId="0" fillId="0" borderId="36" xfId="0" applyFont="1" applyFill="1" applyBorder="1" applyAlignment="1" applyProtection="1">
      <alignment horizontal="left"/>
      <protection hidden="1"/>
    </xf>
    <xf numFmtId="0" fontId="0" fillId="0" borderId="62" xfId="0" applyFont="1" applyBorder="1" applyAlignment="1" applyProtection="1">
      <alignment vertical="center"/>
      <protection hidden="1"/>
    </xf>
    <xf numFmtId="0" fontId="30" fillId="0" borderId="43" xfId="0" applyFont="1" applyFill="1" applyBorder="1" applyAlignment="1" applyProtection="1">
      <alignment horizontal="left" vertical="center"/>
      <protection hidden="1"/>
    </xf>
    <xf numFmtId="189" fontId="16" fillId="0" borderId="26" xfId="0" applyNumberFormat="1" applyFont="1" applyFill="1" applyBorder="1" applyAlignment="1" applyProtection="1">
      <alignment vertical="center"/>
      <protection hidden="1"/>
    </xf>
    <xf numFmtId="2" fontId="29" fillId="5" borderId="14" xfId="0" applyNumberFormat="1" applyFont="1" applyFill="1" applyBorder="1" applyAlignment="1" applyProtection="1">
      <alignment vertical="center"/>
      <protection locked="0"/>
    </xf>
    <xf numFmtId="2" fontId="29" fillId="5" borderId="26" xfId="0" applyNumberFormat="1" applyFont="1" applyFill="1" applyBorder="1" applyAlignment="1" applyProtection="1">
      <alignment vertical="center"/>
      <protection locked="0"/>
    </xf>
    <xf numFmtId="0" fontId="12" fillId="4" borderId="0" xfId="0" applyFont="1" applyFill="1" applyAlignment="1" applyProtection="1">
      <alignment vertical="center"/>
      <protection hidden="1"/>
    </xf>
    <xf numFmtId="0" fontId="2" fillId="4" borderId="0" xfId="0" applyFont="1" applyFill="1" applyAlignment="1" applyProtection="1">
      <alignment vertical="center"/>
      <protection hidden="1"/>
    </xf>
    <xf numFmtId="0" fontId="12" fillId="4" borderId="0" xfId="0" applyFont="1" applyFill="1" applyAlignment="1" applyProtection="1">
      <alignment vertical="center"/>
      <protection hidden="1"/>
    </xf>
    <xf numFmtId="166" fontId="16" fillId="0" borderId="0" xfId="0" applyNumberFormat="1" applyFont="1" applyBorder="1" applyAlignment="1" applyProtection="1">
      <alignment vertical="center"/>
      <protection hidden="1"/>
    </xf>
    <xf numFmtId="166" fontId="0" fillId="0" borderId="0" xfId="0" applyNumberFormat="1" applyBorder="1" applyAlignment="1" applyProtection="1">
      <alignment horizontal="center" vertical="center"/>
      <protection hidden="1"/>
    </xf>
    <xf numFmtId="0" fontId="30"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209" fontId="26" fillId="2" borderId="14" xfId="0" applyNumberFormat="1" applyFont="1" applyFill="1" applyBorder="1" applyAlignment="1" applyProtection="1">
      <alignment vertical="center"/>
      <protection locked="0"/>
    </xf>
    <xf numFmtId="0" fontId="0" fillId="0" borderId="22" xfId="0" applyFont="1" applyBorder="1" applyAlignment="1" applyProtection="1">
      <alignment horizontal="center" vertical="center"/>
      <protection hidden="1"/>
    </xf>
    <xf numFmtId="2" fontId="26" fillId="2" borderId="20" xfId="0" applyNumberFormat="1" applyFont="1" applyFill="1" applyBorder="1" applyAlignment="1" applyProtection="1">
      <alignment vertical="center"/>
      <protection locked="0"/>
    </xf>
    <xf numFmtId="167" fontId="16" fillId="0" borderId="22" xfId="0" applyNumberFormat="1" applyFont="1" applyBorder="1" applyAlignment="1" applyProtection="1">
      <alignment vertical="center"/>
      <protection hidden="1"/>
    </xf>
    <xf numFmtId="0" fontId="30" fillId="0" borderId="19" xfId="0" applyFont="1" applyBorder="1" applyAlignment="1" applyProtection="1">
      <alignment horizontal="center" vertical="center"/>
      <protection hidden="1"/>
    </xf>
    <xf numFmtId="167" fontId="16" fillId="0" borderId="22" xfId="0" applyNumberFormat="1" applyFont="1" applyBorder="1" applyAlignment="1" applyProtection="1">
      <alignment vertical="center"/>
      <protection hidden="1"/>
    </xf>
    <xf numFmtId="167" fontId="16" fillId="0" borderId="20" xfId="0" applyNumberFormat="1" applyFont="1" applyBorder="1" applyAlignment="1" applyProtection="1">
      <alignment vertical="center"/>
      <protection hidden="1"/>
    </xf>
    <xf numFmtId="1" fontId="16" fillId="0" borderId="22" xfId="0" applyNumberFormat="1" applyFont="1" applyBorder="1" applyAlignment="1" applyProtection="1">
      <alignment vertical="center"/>
      <protection hidden="1"/>
    </xf>
    <xf numFmtId="0" fontId="26" fillId="2" borderId="20" xfId="0" applyNumberFormat="1" applyFont="1" applyFill="1" applyBorder="1" applyAlignment="1" applyProtection="1">
      <alignment vertical="center"/>
      <protection locked="0"/>
    </xf>
    <xf numFmtId="0" fontId="0" fillId="0" borderId="33" xfId="0" applyFont="1" applyBorder="1" applyAlignment="1" applyProtection="1">
      <alignment vertical="center"/>
      <protection hidden="1"/>
    </xf>
    <xf numFmtId="167" fontId="16" fillId="0" borderId="20" xfId="0" applyNumberFormat="1" applyFont="1" applyBorder="1" applyAlignment="1" applyProtection="1">
      <alignment vertical="center"/>
      <protection hidden="1"/>
    </xf>
    <xf numFmtId="1" fontId="16" fillId="0" borderId="20" xfId="0" applyNumberFormat="1" applyFont="1" applyBorder="1" applyAlignment="1" applyProtection="1">
      <alignment vertical="center"/>
      <protection hidden="1"/>
    </xf>
    <xf numFmtId="2" fontId="16" fillId="3" borderId="22" xfId="0" applyNumberFormat="1" applyFont="1" applyFill="1" applyBorder="1" applyAlignment="1" applyProtection="1">
      <alignment vertical="center"/>
      <protection hidden="1"/>
    </xf>
    <xf numFmtId="2" fontId="16" fillId="3" borderId="20" xfId="0" applyNumberFormat="1" applyFont="1" applyFill="1" applyBorder="1" applyAlignment="1" applyProtection="1">
      <alignment vertical="center"/>
      <protection hidden="1"/>
    </xf>
    <xf numFmtId="0" fontId="0" fillId="0" borderId="25" xfId="0" applyFont="1" applyBorder="1" applyAlignment="1" applyProtection="1">
      <alignment horizontal="center" vertical="center"/>
      <protection hidden="1"/>
    </xf>
    <xf numFmtId="166" fontId="16" fillId="0" borderId="26" xfId="0" applyNumberFormat="1" applyFont="1" applyBorder="1" applyAlignment="1" applyProtection="1">
      <alignment vertical="center"/>
      <protection hidden="1"/>
    </xf>
    <xf numFmtId="0" fontId="0" fillId="0" borderId="49" xfId="0" applyFont="1" applyBorder="1" applyAlignment="1" applyProtection="1">
      <alignment vertical="center"/>
      <protection hidden="1"/>
    </xf>
    <xf numFmtId="0" fontId="0" fillId="0" borderId="43" xfId="0" applyFont="1" applyBorder="1" applyAlignment="1" applyProtection="1">
      <alignment horizontal="center" vertical="center"/>
      <protection hidden="1"/>
    </xf>
    <xf numFmtId="2" fontId="16" fillId="3" borderId="25" xfId="0" applyNumberFormat="1" applyFont="1" applyFill="1" applyBorder="1" applyAlignment="1" applyProtection="1">
      <alignment vertical="center"/>
      <protection hidden="1"/>
    </xf>
    <xf numFmtId="2" fontId="16" fillId="3" borderId="26" xfId="0" applyNumberFormat="1" applyFont="1" applyFill="1" applyBorder="1" applyAlignment="1" applyProtection="1">
      <alignment vertical="center"/>
      <protection hidden="1"/>
    </xf>
    <xf numFmtId="0" fontId="16" fillId="0" borderId="12"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9"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top" wrapText="1"/>
      <protection hidden="1"/>
    </xf>
    <xf numFmtId="0" fontId="3" fillId="3" borderId="0" xfId="0" applyFont="1" applyFill="1" applyBorder="1" applyAlignment="1" applyProtection="1">
      <alignment horizontal="left" vertical="center" wrapText="1"/>
      <protection hidden="1"/>
    </xf>
    <xf numFmtId="0" fontId="7" fillId="4" borderId="63"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protection locked="0"/>
    </xf>
    <xf numFmtId="0" fontId="2" fillId="0" borderId="0" xfId="0" applyFont="1" applyBorder="1" applyAlignment="1" applyProtection="1">
      <alignment horizontal="left" vertical="top" wrapText="1"/>
      <protection hidden="1"/>
    </xf>
    <xf numFmtId="0" fontId="2" fillId="0" borderId="0" xfId="0" applyFont="1" applyBorder="1" applyAlignment="1" applyProtection="1">
      <alignment horizontal="justify" vertical="top" wrapText="1"/>
      <protection hidden="1"/>
    </xf>
    <xf numFmtId="0" fontId="29" fillId="5" borderId="0" xfId="0" applyFont="1" applyFill="1" applyBorder="1" applyAlignment="1" applyProtection="1">
      <alignment horizontal="left" vertical="center"/>
      <protection locked="0"/>
    </xf>
    <xf numFmtId="198" fontId="1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28" fillId="0" borderId="0" xfId="0" applyFont="1" applyBorder="1" applyAlignment="1" applyProtection="1">
      <alignment horizontal="center" vertical="center" textRotation="90"/>
      <protection hidden="1"/>
    </xf>
    <xf numFmtId="0" fontId="23" fillId="7" borderId="64" xfId="0" applyFont="1" applyFill="1" applyBorder="1" applyAlignment="1" applyProtection="1">
      <alignment horizontal="center" vertical="center" textRotation="90"/>
      <protection hidden="1"/>
    </xf>
    <xf numFmtId="0" fontId="28" fillId="0" borderId="33" xfId="0" applyFont="1" applyBorder="1" applyAlignment="1" applyProtection="1">
      <alignment horizontal="center" vertical="center" textRotation="90"/>
      <protection hidden="1"/>
    </xf>
    <xf numFmtId="0" fontId="23" fillId="6" borderId="0" xfId="0" applyFont="1" applyFill="1" applyBorder="1" applyAlignment="1" applyProtection="1">
      <alignment horizontal="center" vertical="center" wrapText="1"/>
      <protection hidden="1"/>
    </xf>
    <xf numFmtId="0" fontId="28" fillId="0" borderId="65" xfId="0" applyFont="1" applyBorder="1" applyAlignment="1" applyProtection="1">
      <alignment horizontal="center" vertical="center"/>
      <protection hidden="1"/>
    </xf>
    <xf numFmtId="0" fontId="28" fillId="0" borderId="33" xfId="0" applyFont="1" applyFill="1" applyBorder="1" applyAlignment="1" applyProtection="1">
      <alignment horizontal="left" vertical="center" textRotation="90"/>
      <protection hidden="1"/>
    </xf>
    <xf numFmtId="0" fontId="28" fillId="0" borderId="0" xfId="0" applyFont="1" applyBorder="1" applyAlignment="1" applyProtection="1">
      <alignment horizontal="center" vertical="center" textRotation="90"/>
      <protection hidden="1"/>
    </xf>
    <xf numFmtId="0" fontId="23" fillId="7" borderId="66" xfId="0" applyFont="1" applyFill="1" applyBorder="1" applyAlignment="1" applyProtection="1">
      <alignment horizontal="center" vertical="center" textRotation="90" wrapText="1"/>
      <protection hidden="1"/>
    </xf>
    <xf numFmtId="177" fontId="32" fillId="0" borderId="0" xfId="0" applyNumberFormat="1" applyFont="1" applyBorder="1" applyAlignment="1" applyProtection="1">
      <alignment horizontal="center" vertical="center" textRotation="90"/>
      <protection hidden="1"/>
    </xf>
    <xf numFmtId="0" fontId="16" fillId="7" borderId="0" xfId="0" applyFont="1" applyFill="1" applyBorder="1" applyAlignment="1" applyProtection="1">
      <alignment horizontal="center" vertical="center" wrapText="1"/>
      <protection hidden="1"/>
    </xf>
    <xf numFmtId="0" fontId="10" fillId="2" borderId="31" xfId="0" applyFont="1" applyFill="1" applyBorder="1" applyAlignment="1" applyProtection="1">
      <alignment horizontal="center" vertical="center"/>
      <protection hidden="1"/>
    </xf>
    <xf numFmtId="0" fontId="23" fillId="0" borderId="28" xfId="0" applyFont="1" applyBorder="1" applyAlignment="1" applyProtection="1">
      <alignment horizontal="center" vertical="center" textRotation="90"/>
      <protection hidden="1"/>
    </xf>
    <xf numFmtId="0" fontId="28" fillId="0" borderId="66" xfId="0" applyFont="1" applyBorder="1" applyAlignment="1" applyProtection="1">
      <alignment horizontal="center" vertical="center" textRotation="90"/>
      <protection hidden="1"/>
    </xf>
    <xf numFmtId="0" fontId="28" fillId="0" borderId="65" xfId="0" applyFont="1" applyBorder="1" applyAlignment="1" applyProtection="1">
      <alignment horizontal="center" vertical="center" textRotation="90"/>
      <protection hidden="1"/>
    </xf>
    <xf numFmtId="0" fontId="16" fillId="0" borderId="66" xfId="0" applyFont="1" applyBorder="1" applyAlignment="1" applyProtection="1">
      <alignment horizontal="center" textRotation="90"/>
      <protection hidden="1"/>
    </xf>
    <xf numFmtId="0" fontId="0" fillId="0" borderId="15" xfId="0" applyFont="1" applyBorder="1" applyAlignment="1" applyProtection="1">
      <alignment horizontal="left" vertical="center"/>
      <protection hidden="1"/>
    </xf>
    <xf numFmtId="0" fontId="0" fillId="0" borderId="21" xfId="0" applyFont="1" applyBorder="1" applyAlignment="1" applyProtection="1">
      <alignment horizontal="left" vertical="center"/>
      <protection hidden="1"/>
    </xf>
    <xf numFmtId="0" fontId="28" fillId="0" borderId="28" xfId="0" applyFont="1" applyBorder="1" applyAlignment="1" applyProtection="1">
      <alignment horizontal="center" textRotation="90"/>
      <protection hidden="1"/>
    </xf>
    <xf numFmtId="0" fontId="28" fillId="0" borderId="49" xfId="0" applyFont="1" applyBorder="1" applyAlignment="1" applyProtection="1">
      <alignment horizontal="center" textRotation="90"/>
      <protection hidden="1"/>
    </xf>
    <xf numFmtId="0" fontId="28" fillId="0" borderId="66" xfId="0" applyFont="1" applyBorder="1" applyAlignment="1" applyProtection="1">
      <alignment horizontal="center" textRotation="90"/>
      <protection hidden="1"/>
    </xf>
    <xf numFmtId="0" fontId="23" fillId="0" borderId="11" xfId="0" applyFont="1" applyBorder="1" applyAlignment="1" applyProtection="1">
      <alignment horizontal="center" vertical="center" textRotation="90"/>
      <protection hidden="1"/>
    </xf>
    <xf numFmtId="0" fontId="35" fillId="0" borderId="66" xfId="0" applyFont="1" applyBorder="1" applyAlignment="1" applyProtection="1">
      <alignment horizontal="center" vertical="center" textRotation="90"/>
      <protection hidden="1"/>
    </xf>
    <xf numFmtId="0" fontId="23" fillId="7" borderId="0" xfId="0" applyFont="1" applyFill="1" applyBorder="1" applyAlignment="1" applyProtection="1">
      <alignment horizontal="center" vertical="center" textRotation="90"/>
      <protection hidden="1"/>
    </xf>
    <xf numFmtId="0" fontId="23" fillId="7" borderId="66" xfId="0" applyFont="1" applyFill="1" applyBorder="1" applyAlignment="1" applyProtection="1">
      <alignment horizontal="center" vertical="center" textRotation="90"/>
      <protection hidden="1"/>
    </xf>
    <xf numFmtId="0" fontId="16" fillId="6" borderId="0" xfId="0" applyFont="1" applyFill="1" applyBorder="1" applyAlignment="1" applyProtection="1">
      <alignment horizontal="center" vertical="center" wrapText="1"/>
      <protection hidden="1"/>
    </xf>
    <xf numFmtId="0" fontId="16" fillId="0" borderId="66" xfId="0" applyFont="1" applyBorder="1" applyAlignment="1" applyProtection="1">
      <alignment horizontal="center" vertical="center" textRotation="90"/>
      <protection hidden="1"/>
    </xf>
    <xf numFmtId="0" fontId="28" fillId="0" borderId="49" xfId="0" applyFont="1" applyBorder="1" applyAlignment="1" applyProtection="1">
      <alignment horizontal="left" vertical="center" textRotation="90"/>
      <protection hidden="1"/>
    </xf>
    <xf numFmtId="0" fontId="28" fillId="0" borderId="66" xfId="0" applyFont="1" applyBorder="1" applyAlignment="1" applyProtection="1">
      <alignment horizontal="center" vertical="center" textRotation="90"/>
      <protection hidden="1"/>
    </xf>
    <xf numFmtId="0" fontId="28" fillId="0" borderId="11" xfId="0" applyFont="1" applyBorder="1" applyAlignment="1" applyProtection="1">
      <alignment horizontal="left" vertical="top" textRotation="90"/>
      <protection hidden="1"/>
    </xf>
    <xf numFmtId="0" fontId="28" fillId="0" borderId="11" xfId="0" applyFont="1" applyBorder="1" applyAlignment="1" applyProtection="1">
      <alignment horizontal="left" vertical="top" textRotation="90"/>
      <protection hidden="1"/>
    </xf>
    <xf numFmtId="0" fontId="16" fillId="6" borderId="66" xfId="0" applyFont="1" applyFill="1" applyBorder="1" applyAlignment="1" applyProtection="1">
      <alignment horizontal="center" vertical="center" textRotation="90"/>
      <protection hidden="1"/>
    </xf>
    <xf numFmtId="0" fontId="28" fillId="0" borderId="49" xfId="0" applyFont="1" applyBorder="1" applyAlignment="1" applyProtection="1">
      <alignment horizontal="left" textRotation="90"/>
      <protection hidden="1"/>
    </xf>
    <xf numFmtId="0" fontId="28" fillId="0" borderId="33" xfId="0" applyFont="1" applyBorder="1" applyAlignment="1" applyProtection="1">
      <alignment horizontal="center" textRotation="90"/>
      <protection hidden="1"/>
    </xf>
    <xf numFmtId="0" fontId="28" fillId="0" borderId="0" xfId="0" applyFont="1" applyBorder="1" applyAlignment="1" applyProtection="1">
      <alignment horizontal="center" textRotation="90"/>
      <protection hidden="1"/>
    </xf>
    <xf numFmtId="0" fontId="29" fillId="2" borderId="0"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6" fillId="2" borderId="0" xfId="0" applyFont="1" applyFill="1" applyBorder="1" applyAlignment="1" applyProtection="1">
      <alignment horizontal="left" vertical="center"/>
      <protection locked="0"/>
    </xf>
    <xf numFmtId="0" fontId="0" fillId="0" borderId="21" xfId="0" applyBorder="1" applyAlignment="1" applyProtection="1">
      <alignment horizontal="left" vertical="center"/>
      <protection hidden="1"/>
    </xf>
    <xf numFmtId="0" fontId="29" fillId="5" borderId="22" xfId="0" applyNumberFormat="1" applyFont="1" applyFill="1" applyBorder="1" applyAlignment="1" applyProtection="1">
      <alignment horizontal="left" vertical="center"/>
      <protection locked="0"/>
    </xf>
    <xf numFmtId="0" fontId="0" fillId="0" borderId="15" xfId="0" applyBorder="1" applyAlignment="1" applyProtection="1">
      <alignment horizontal="left" vertical="center"/>
      <protection hidden="1"/>
    </xf>
    <xf numFmtId="1" fontId="29" fillId="5" borderId="16" xfId="0" applyNumberFormat="1" applyFont="1" applyFill="1" applyBorder="1" applyAlignment="1" applyProtection="1">
      <alignment horizontal="left" vertical="center"/>
      <protection locked="0"/>
    </xf>
    <xf numFmtId="0" fontId="28" fillId="0" borderId="0" xfId="0" applyFont="1" applyBorder="1" applyAlignment="1" applyProtection="1">
      <alignment horizontal="center" vertical="center" textRotation="90" wrapText="1"/>
      <protection hidden="1"/>
    </xf>
    <xf numFmtId="0" fontId="22" fillId="0" borderId="65" xfId="0" applyFont="1" applyBorder="1" applyAlignment="1" applyProtection="1">
      <alignment horizontal="center" vertical="center"/>
      <protection hidden="1"/>
    </xf>
    <xf numFmtId="167" fontId="16" fillId="8" borderId="22" xfId="0" applyNumberFormat="1" applyFont="1" applyFill="1" applyBorder="1" applyAlignment="1" applyProtection="1">
      <alignment horizontal="center" vertical="center"/>
      <protection hidden="1"/>
    </xf>
    <xf numFmtId="0" fontId="16" fillId="0" borderId="67" xfId="0" applyFont="1" applyBorder="1" applyAlignment="1" applyProtection="1">
      <alignment horizontal="center" vertical="center"/>
      <protection hidden="1"/>
    </xf>
    <xf numFmtId="0" fontId="0" fillId="2" borderId="0" xfId="0" applyFont="1" applyFill="1" applyBorder="1" applyAlignment="1" applyProtection="1">
      <alignment horizontal="left" vertical="center"/>
      <protection locked="0"/>
    </xf>
    <xf numFmtId="167" fontId="16" fillId="0" borderId="14" xfId="0" applyNumberFormat="1" applyFont="1" applyBorder="1" applyAlignment="1" applyProtection="1">
      <alignment horizontal="center" vertical="center"/>
      <protection hidden="1"/>
    </xf>
    <xf numFmtId="167" fontId="16" fillId="8" borderId="20" xfId="0" applyNumberFormat="1" applyFont="1" applyFill="1" applyBorder="1" applyAlignment="1" applyProtection="1">
      <alignment horizontal="center" vertical="center"/>
      <protection hidden="1"/>
    </xf>
  </cellXfs>
  <cellStyles count="7">
    <cellStyle name="Normal" xfId="0"/>
    <cellStyle name="Comma" xfId="15"/>
    <cellStyle name="Comma [0]" xfId="16"/>
    <cellStyle name="Hyperlink" xfId="17"/>
    <cellStyle name="Percent" xfId="18"/>
    <cellStyle name="Currency" xfId="19"/>
    <cellStyle name="Currency [0]" xfId="20"/>
  </cellStyles>
  <dxfs count="1">
    <dxf>
      <border/>
    </dxf>
  </dxfs>
  <colors>
    <indexedColors>
      <rgbColor rgb="00000000"/>
      <rgbColor rgb="00FFFFFF"/>
      <rgbColor rgb="00FF0000"/>
      <rgbColor rgb="0000FF00"/>
      <rgbColor rgb="000000FF"/>
      <rgbColor rgb="00FFFF00"/>
      <rgbColor rgb="00FF00FF"/>
      <rgbColor rgb="0000FFFF"/>
      <rgbColor rgb="00000000"/>
      <rgbColor rgb="00F2E6F2"/>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BF"/>
      <rgbColor rgb="00BFFFFF"/>
      <rgbColor rgb="00660066"/>
      <rgbColor rgb="00FF8080"/>
      <rgbColor rgb="000066CC"/>
      <rgbColor rgb="00F2E5FF"/>
      <rgbColor rgb="00000080"/>
      <rgbColor rgb="00FF00FF"/>
      <rgbColor rgb="00FFFF00"/>
      <rgbColor rgb="0000FFFF"/>
      <rgbColor rgb="00800080"/>
      <rgbColor rgb="00800000"/>
      <rgbColor rgb="00008080"/>
      <rgbColor rgb="000000FF"/>
      <rgbColor rgb="0000CCFF"/>
      <rgbColor rgb="00D9FFFF"/>
      <rgbColor rgb="00BFFFB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4</xdr:row>
      <xdr:rowOff>95250</xdr:rowOff>
    </xdr:from>
    <xdr:to>
      <xdr:col>10</xdr:col>
      <xdr:colOff>66675</xdr:colOff>
      <xdr:row>23</xdr:row>
      <xdr:rowOff>66675</xdr:rowOff>
    </xdr:to>
    <xdr:pic>
      <xdr:nvPicPr>
        <xdr:cNvPr id="1" name="Picture 61"/>
        <xdr:cNvPicPr preferRelativeResize="1">
          <a:picLocks noChangeAspect="1"/>
        </xdr:cNvPicPr>
      </xdr:nvPicPr>
      <xdr:blipFill>
        <a:blip r:embed="rId1"/>
        <a:stretch>
          <a:fillRect/>
        </a:stretch>
      </xdr:blipFill>
      <xdr:spPr>
        <a:xfrm>
          <a:off x="1876425" y="857250"/>
          <a:ext cx="7305675" cy="3590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X68"/>
  <sheetViews>
    <sheetView showGridLines="0" showRowColHeaders="0" tabSelected="1" workbookViewId="0" topLeftCell="A1">
      <selection activeCell="X10" sqref="X10"/>
    </sheetView>
  </sheetViews>
  <sheetFormatPr defaultColWidth="11.421875" defaultRowHeight="15" customHeight="1"/>
  <cols>
    <col min="1" max="1" width="4.7109375" style="1" customWidth="1"/>
    <col min="2" max="19" width="8.7109375" style="1" customWidth="1"/>
    <col min="20" max="20" width="4.7109375" style="1" customWidth="1"/>
    <col min="21" max="21" width="3.7109375" style="2" customWidth="1"/>
    <col min="22" max="22" width="3.7109375" style="1" customWidth="1"/>
    <col min="23" max="16384" width="11.421875" style="1" customWidth="1"/>
  </cols>
  <sheetData>
    <row r="1" spans="1:22" ht="18" customHeight="1">
      <c r="A1" s="3"/>
      <c r="C1" s="2"/>
      <c r="D1" s="2"/>
      <c r="E1" s="2"/>
      <c r="F1" s="2"/>
      <c r="G1" s="2"/>
      <c r="H1" s="2"/>
      <c r="I1" s="2"/>
      <c r="J1" s="2"/>
      <c r="K1" s="2"/>
      <c r="L1" s="2"/>
      <c r="M1" s="2"/>
      <c r="N1" s="2"/>
      <c r="R1" s="3"/>
      <c r="S1" s="3"/>
      <c r="T1" s="3"/>
      <c r="V1" s="3"/>
    </row>
    <row r="2" spans="1:22" ht="18" customHeight="1">
      <c r="A2" s="3"/>
      <c r="B2" s="4" t="str">
        <f>IF(H13&gt;2.5," A T T E N T I O N :",IF(H13&gt;1.5,"A C H T U N G :","D İ K K A T :"))</f>
        <v>D İ K K A T :</v>
      </c>
      <c r="C2" s="2"/>
      <c r="D2" s="2"/>
      <c r="E2" s="2"/>
      <c r="F2" s="2"/>
      <c r="G2" s="2"/>
      <c r="H2" s="2"/>
      <c r="I2" s="2"/>
      <c r="J2" s="2"/>
      <c r="K2" s="2"/>
      <c r="L2" s="2"/>
      <c r="M2" s="2"/>
      <c r="Q2" s="2"/>
      <c r="R2" s="3"/>
      <c r="S2" s="3"/>
      <c r="T2" s="3"/>
      <c r="V2" s="3"/>
    </row>
    <row r="3" spans="1:22" ht="18" customHeight="1">
      <c r="A3" s="3"/>
      <c r="B3" s="747" t="str">
        <f>IF(H13&gt;2.5,B55,IF(H13&gt;1.5,B50,IF(H13&gt;0.5,B44,"")))</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747"/>
      <c r="D3" s="747"/>
      <c r="E3" s="747"/>
      <c r="F3" s="747"/>
      <c r="G3" s="747"/>
      <c r="H3" s="747"/>
      <c r="I3" s="747"/>
      <c r="J3" s="747"/>
      <c r="K3" s="747"/>
      <c r="L3" s="747"/>
      <c r="M3" s="747"/>
      <c r="N3" s="747"/>
      <c r="O3" s="747"/>
      <c r="P3" s="747"/>
      <c r="Q3" s="747"/>
      <c r="R3" s="747"/>
      <c r="S3" s="747"/>
      <c r="T3" s="3"/>
      <c r="V3" s="3"/>
    </row>
    <row r="4" spans="1:22" ht="18" customHeight="1">
      <c r="A4" s="2"/>
      <c r="B4" s="747"/>
      <c r="C4" s="747"/>
      <c r="D4" s="747"/>
      <c r="E4" s="747"/>
      <c r="F4" s="747"/>
      <c r="G4" s="747"/>
      <c r="H4" s="747"/>
      <c r="I4" s="747"/>
      <c r="J4" s="747"/>
      <c r="K4" s="747"/>
      <c r="L4" s="747"/>
      <c r="M4" s="747"/>
      <c r="N4" s="747"/>
      <c r="O4" s="747"/>
      <c r="P4" s="747"/>
      <c r="Q4" s="747"/>
      <c r="R4" s="747"/>
      <c r="S4" s="747"/>
      <c r="T4" s="3"/>
      <c r="V4" s="3"/>
    </row>
    <row r="5" spans="1:22" ht="18" customHeight="1">
      <c r="A5" s="2"/>
      <c r="B5" s="747"/>
      <c r="C5" s="747"/>
      <c r="D5" s="747"/>
      <c r="E5" s="747"/>
      <c r="F5" s="747"/>
      <c r="G5" s="747"/>
      <c r="H5" s="747"/>
      <c r="I5" s="747"/>
      <c r="J5" s="747"/>
      <c r="K5" s="747"/>
      <c r="L5" s="747"/>
      <c r="M5" s="747"/>
      <c r="N5" s="747"/>
      <c r="O5" s="747"/>
      <c r="P5" s="747"/>
      <c r="Q5" s="747"/>
      <c r="R5" s="747"/>
      <c r="S5" s="747"/>
      <c r="T5" s="3"/>
      <c r="V5" s="3"/>
    </row>
    <row r="6" spans="1:22" ht="18" customHeight="1">
      <c r="A6" s="2"/>
      <c r="B6" s="747"/>
      <c r="C6" s="747"/>
      <c r="D6" s="747"/>
      <c r="E6" s="747"/>
      <c r="F6" s="747"/>
      <c r="G6" s="747"/>
      <c r="H6" s="747"/>
      <c r="I6" s="747"/>
      <c r="J6" s="747"/>
      <c r="K6" s="747"/>
      <c r="L6" s="747"/>
      <c r="M6" s="747"/>
      <c r="N6" s="747"/>
      <c r="O6" s="747"/>
      <c r="P6" s="747"/>
      <c r="Q6" s="747"/>
      <c r="R6" s="747"/>
      <c r="S6" s="747"/>
      <c r="T6" s="3"/>
      <c r="V6" s="3"/>
    </row>
    <row r="7" spans="1:22" ht="18" customHeight="1">
      <c r="A7" s="2"/>
      <c r="F7" s="2"/>
      <c r="T7" s="3"/>
      <c r="V7" s="3"/>
    </row>
    <row r="8" spans="1:22" ht="18" customHeight="1">
      <c r="A8" s="2"/>
      <c r="B8" s="747" t="str">
        <f>IF(H13&gt;2.5,B65,IF(H13&gt;1.5,B62,IF(H13&gt;0.5,B59,"")))</f>
        <v>Bu programdaki her bilgiyi kaynak göstermek şartıyla her yerde kullanabilirsiniz. Bu programa verilecek değerleri (mavi kareler) ya bu sitedeki bilgilerden veya literatürden almalısınız.</v>
      </c>
      <c r="C8" s="747"/>
      <c r="D8" s="747"/>
      <c r="E8" s="747"/>
      <c r="F8" s="747"/>
      <c r="G8" s="747"/>
      <c r="H8" s="747"/>
      <c r="I8" s="747"/>
      <c r="J8" s="747"/>
      <c r="K8" s="747"/>
      <c r="L8" s="747"/>
      <c r="M8" s="747"/>
      <c r="N8" s="747"/>
      <c r="O8" s="747"/>
      <c r="P8" s="747"/>
      <c r="Q8" s="747"/>
      <c r="R8" s="747"/>
      <c r="S8" s="747"/>
      <c r="T8" s="3"/>
      <c r="V8" s="3"/>
    </row>
    <row r="9" spans="1:22" ht="18" customHeight="1">
      <c r="A9" s="2"/>
      <c r="B9" s="747"/>
      <c r="C9" s="747"/>
      <c r="D9" s="747"/>
      <c r="E9" s="747"/>
      <c r="F9" s="747"/>
      <c r="G9" s="747"/>
      <c r="H9" s="747"/>
      <c r="I9" s="747"/>
      <c r="J9" s="747"/>
      <c r="K9" s="747"/>
      <c r="L9" s="747"/>
      <c r="M9" s="747"/>
      <c r="N9" s="747"/>
      <c r="O9" s="747"/>
      <c r="P9" s="747"/>
      <c r="Q9" s="747"/>
      <c r="R9" s="747"/>
      <c r="S9" s="747"/>
      <c r="T9" s="3"/>
      <c r="V9" s="3"/>
    </row>
    <row r="10" spans="1:22" ht="18" customHeight="1">
      <c r="A10" s="2"/>
      <c r="I10" s="2"/>
      <c r="J10" s="2"/>
      <c r="T10" s="3"/>
      <c r="V10" s="3"/>
    </row>
    <row r="11" spans="1:22" ht="18" customHeight="1">
      <c r="A11" s="2"/>
      <c r="B11" s="5" t="s">
        <v>0</v>
      </c>
      <c r="C11" s="6"/>
      <c r="D11" s="6"/>
      <c r="G11" s="746" t="s">
        <v>1</v>
      </c>
      <c r="H11" s="746"/>
      <c r="I11" s="746"/>
      <c r="J11" s="746"/>
      <c r="K11" s="746"/>
      <c r="N11" s="7" t="s">
        <v>2</v>
      </c>
      <c r="O11" s="2"/>
      <c r="P11" s="3"/>
      <c r="Q11" s="2"/>
      <c r="T11" s="2"/>
      <c r="V11" s="2"/>
    </row>
    <row r="12" spans="1:22" ht="18" customHeight="1">
      <c r="A12" s="2"/>
      <c r="I12" s="2"/>
      <c r="J12" s="2"/>
      <c r="T12" s="2"/>
      <c r="V12" s="2"/>
    </row>
    <row r="13" spans="1:22" ht="18" customHeight="1">
      <c r="A13" s="2"/>
      <c r="B13" s="8" t="s">
        <v>3</v>
      </c>
      <c r="C13" s="9"/>
      <c r="D13" s="10"/>
      <c r="E13" s="11"/>
      <c r="F13" s="12"/>
      <c r="G13" s="13"/>
      <c r="H13" s="748">
        <v>1</v>
      </c>
      <c r="I13" s="2"/>
      <c r="J13" s="2"/>
      <c r="K13" s="749"/>
      <c r="L13" s="749"/>
      <c r="M13" s="749"/>
      <c r="N13" s="749"/>
      <c r="O13" s="749"/>
      <c r="P13" s="749"/>
      <c r="Q13" s="749"/>
      <c r="R13" s="2"/>
      <c r="S13" s="2"/>
      <c r="T13" s="2"/>
      <c r="V13" s="2"/>
    </row>
    <row r="14" spans="1:22" ht="18" customHeight="1">
      <c r="A14" s="2"/>
      <c r="B14" s="14" t="s">
        <v>4</v>
      </c>
      <c r="C14" s="15"/>
      <c r="D14" s="16"/>
      <c r="E14" s="17"/>
      <c r="F14" s="18"/>
      <c r="G14" s="19"/>
      <c r="H14" s="748"/>
      <c r="I14" s="20"/>
      <c r="J14" s="20"/>
      <c r="K14" s="740" t="str">
        <f>IF(H13&gt;2.5,"Input fields (in blue) are not write-protected. ",IF(H13&gt;1.5,"Blaue Felder sind Eingabefelder, welche nicht schreibgeschützt sind. ",IF(H13&gt;0.5,"Mavi olan kareler kilitli olmayan ve yazılabilinen karelerdir","")))</f>
        <v>Mavi olan kareler kilitli olmayan ve yazılabilinen karelerdir</v>
      </c>
      <c r="L14" s="740"/>
      <c r="M14" s="740"/>
      <c r="N14" s="740"/>
      <c r="O14" s="740"/>
      <c r="P14" s="740"/>
      <c r="Q14" s="740"/>
      <c r="R14" s="2"/>
      <c r="S14" s="2"/>
      <c r="T14" s="2"/>
      <c r="V14" s="2"/>
    </row>
    <row r="15" spans="1:22" ht="18" customHeight="1">
      <c r="A15" s="2"/>
      <c r="B15" s="21" t="s">
        <v>5</v>
      </c>
      <c r="C15" s="22"/>
      <c r="D15" s="23"/>
      <c r="E15" s="24"/>
      <c r="F15" s="25"/>
      <c r="G15" s="26"/>
      <c r="H15" s="748"/>
      <c r="I15" s="20"/>
      <c r="J15" s="20"/>
      <c r="K15" s="740"/>
      <c r="L15" s="740"/>
      <c r="M15" s="740"/>
      <c r="N15" s="740"/>
      <c r="O15" s="740"/>
      <c r="P15" s="740"/>
      <c r="Q15" s="740"/>
      <c r="R15" s="2"/>
      <c r="S15" s="2"/>
      <c r="T15" s="2"/>
      <c r="V15" s="2"/>
    </row>
    <row r="16" spans="1:22" ht="18" customHeight="1">
      <c r="A16" s="2"/>
      <c r="T16" s="2"/>
      <c r="V16" s="2"/>
    </row>
    <row r="17" spans="1:22" ht="18" customHeight="1">
      <c r="A17" s="2"/>
      <c r="B17" s="3"/>
      <c r="C17" s="27" t="str">
        <f>0!B40</f>
        <v>Dikkat!</v>
      </c>
      <c r="D17" s="746" t="str">
        <f>0!B258</f>
        <v>Bu programdaki devamlı mukavemet hesabı, civata kafası presleme ve vida ovalama metoduyla imal edilmiş vede imalat bitiminde islah edilmiş civatalar için geçerlidir.</v>
      </c>
      <c r="E17" s="746"/>
      <c r="F17" s="746"/>
      <c r="G17" s="746"/>
      <c r="H17" s="746"/>
      <c r="I17" s="746"/>
      <c r="J17" s="746"/>
      <c r="K17" s="746"/>
      <c r="L17" s="746"/>
      <c r="M17" s="746"/>
      <c r="N17" s="746"/>
      <c r="O17" s="746"/>
      <c r="P17" s="746"/>
      <c r="Q17" s="746"/>
      <c r="R17" s="746"/>
      <c r="S17" s="2"/>
      <c r="T17" s="2"/>
      <c r="V17" s="2"/>
    </row>
    <row r="18" spans="1:24" ht="18" customHeight="1">
      <c r="A18" s="2"/>
      <c r="B18" s="3"/>
      <c r="C18" s="3"/>
      <c r="D18" s="746"/>
      <c r="E18" s="746"/>
      <c r="F18" s="746"/>
      <c r="G18" s="746"/>
      <c r="H18" s="746"/>
      <c r="I18" s="746"/>
      <c r="J18" s="746"/>
      <c r="K18" s="746"/>
      <c r="L18" s="746"/>
      <c r="M18" s="746"/>
      <c r="N18" s="746"/>
      <c r="O18" s="746"/>
      <c r="P18" s="746"/>
      <c r="Q18" s="746"/>
      <c r="R18" s="746"/>
      <c r="S18" s="2"/>
      <c r="T18" s="2"/>
      <c r="V18" s="2"/>
      <c r="W18" s="2"/>
      <c r="X18" s="2"/>
    </row>
    <row r="19" spans="1:24" ht="18" customHeight="1">
      <c r="A19" s="2"/>
      <c r="B19" s="28" t="str">
        <f>IF(H13&gt;2.5,"TABLE OF CONTENTS",IF(H13&gt;1.5,"INHALT",IF(H13&gt;0.5,"İÇİNDEKİLER","")))</f>
        <v>İÇİNDEKİLER</v>
      </c>
      <c r="C19" s="28"/>
      <c r="D19" s="28"/>
      <c r="G19" s="2"/>
      <c r="H19" s="2"/>
      <c r="I19" s="2"/>
      <c r="K19" s="2"/>
      <c r="L19" s="28" t="str">
        <f>B19</f>
        <v>İÇİNDEKİLER</v>
      </c>
      <c r="M19" s="2"/>
      <c r="N19" s="2"/>
      <c r="O19" s="2"/>
      <c r="P19" s="2"/>
      <c r="Q19" s="2"/>
      <c r="R19" s="2"/>
      <c r="S19" s="2"/>
      <c r="T19" s="2"/>
      <c r="V19" s="2"/>
      <c r="W19" s="2"/>
      <c r="X19" s="2"/>
    </row>
    <row r="20" spans="1:24" ht="18" customHeight="1">
      <c r="A20" s="2"/>
      <c r="B20" s="29" t="str">
        <f>0!B2</f>
        <v>0. Programın kullanılması</v>
      </c>
      <c r="C20" s="28"/>
      <c r="D20" s="28"/>
      <c r="G20" s="2"/>
      <c r="H20" s="2"/>
      <c r="I20" s="2"/>
      <c r="J20" s="2"/>
      <c r="K20" s="2"/>
      <c r="L20" s="2"/>
      <c r="M20" s="2"/>
      <c r="N20" s="2"/>
      <c r="O20" s="2"/>
      <c r="P20" s="2"/>
      <c r="Q20" s="2"/>
      <c r="R20" s="2"/>
      <c r="S20" s="2"/>
      <c r="T20" s="2"/>
      <c r="V20" s="2"/>
      <c r="W20" s="2"/>
      <c r="X20" s="2"/>
    </row>
    <row r="21" spans="1:24" ht="18" customHeight="1">
      <c r="A21" s="2"/>
      <c r="B21" s="30" t="str">
        <f>0!B236</f>
        <v>1. Ön germeli cıvataların kabaca seçimi</v>
      </c>
      <c r="C21" s="2"/>
      <c r="D21" s="2"/>
      <c r="G21" s="2"/>
      <c r="H21" s="2"/>
      <c r="I21" s="2"/>
      <c r="K21" s="29" t="str">
        <f>0!B237</f>
        <v>2. Yalnız yük etkisindeki ön germeli şaft cıvatalarının detaylı hesabı</v>
      </c>
      <c r="M21" s="2"/>
      <c r="N21" s="2"/>
      <c r="O21" s="2"/>
      <c r="P21" s="2"/>
      <c r="Q21" s="2"/>
      <c r="R21" s="2"/>
      <c r="S21" s="2"/>
      <c r="T21" s="2"/>
      <c r="V21" s="2"/>
      <c r="W21" s="2"/>
      <c r="X21" s="2"/>
    </row>
    <row r="22" spans="1:22" ht="18" customHeight="1">
      <c r="A22" s="2"/>
      <c r="B22" s="29" t="str">
        <f>0!B238</f>
        <v>3. Yük ve ısı etkisindeki ön germeli şaft cıvataları</v>
      </c>
      <c r="E22" s="2"/>
      <c r="G22" s="2"/>
      <c r="H22" s="2"/>
      <c r="I22" s="2"/>
      <c r="K22" s="30" t="str">
        <f>0!B239</f>
        <v>4. Yük ve boyuna ısı etkisindeki ön germeli şaft cıvatalarının detaylı hesabı</v>
      </c>
      <c r="M22" s="2"/>
      <c r="N22" s="2"/>
      <c r="O22" s="2"/>
      <c r="P22" s="2"/>
      <c r="Q22" s="2"/>
      <c r="R22" s="2"/>
      <c r="S22" s="2"/>
      <c r="T22" s="2"/>
      <c r="V22" s="2"/>
    </row>
    <row r="23" spans="1:22" ht="18" customHeight="1">
      <c r="A23" s="2"/>
      <c r="B23" s="31" t="str">
        <f>0!B240</f>
        <v>5. Yük, enine ve boyuna ısı etkisindeki ön germeli esnek cıvataların hesabı</v>
      </c>
      <c r="C23" s="31"/>
      <c r="D23" s="31"/>
      <c r="E23" s="31"/>
      <c r="F23" s="31"/>
      <c r="G23" s="32"/>
      <c r="H23" s="32"/>
      <c r="I23" s="32"/>
      <c r="J23" s="32"/>
      <c r="K23" s="33" t="str">
        <f>0!B241</f>
        <v>6. Çelik konsruksiyonda cıvata bağlantıları</v>
      </c>
      <c r="L23" s="34"/>
      <c r="T23" s="3"/>
      <c r="V23" s="3"/>
    </row>
    <row r="24" spans="1:22" ht="18" customHeight="1">
      <c r="A24" s="2"/>
      <c r="B24" s="32" t="str">
        <f>0!B242</f>
        <v>7. Haraket cıvataları</v>
      </c>
      <c r="C24" s="32"/>
      <c r="D24" s="32"/>
      <c r="E24" s="32"/>
      <c r="F24" s="32"/>
      <c r="G24" s="32"/>
      <c r="H24" s="32"/>
      <c r="I24" s="32"/>
      <c r="J24" s="32"/>
      <c r="K24" s="32" t="str">
        <f>0!B243</f>
        <v>8. Vida kesitinin kontrolü</v>
      </c>
      <c r="L24" s="34"/>
      <c r="T24" s="2"/>
      <c r="V24" s="2"/>
    </row>
    <row r="25" spans="1:22" ht="18" customHeight="1">
      <c r="A25" s="2"/>
      <c r="T25" s="2"/>
      <c r="V25" s="2"/>
    </row>
    <row r="26" spans="1:22" ht="18" customHeight="1">
      <c r="A26" s="2"/>
      <c r="P26" s="2"/>
      <c r="Q26" s="2"/>
      <c r="T26" s="3"/>
      <c r="V26" s="3"/>
    </row>
    <row r="27" spans="1:22" ht="18" customHeight="1">
      <c r="A27" s="2"/>
      <c r="T27" s="3"/>
      <c r="V27" s="3"/>
    </row>
    <row r="28" spans="1:22" ht="18" customHeight="1">
      <c r="A28" s="2"/>
      <c r="M28" s="2"/>
      <c r="R28" s="3"/>
      <c r="S28" s="3"/>
      <c r="T28" s="2"/>
      <c r="V28" s="2"/>
    </row>
    <row r="29" spans="1:22" ht="18" customHeight="1">
      <c r="A29" s="2"/>
      <c r="M29" s="2"/>
      <c r="N29" s="3"/>
      <c r="R29" s="3"/>
      <c r="S29" s="3"/>
      <c r="V29" s="2"/>
    </row>
    <row r="30" spans="1:22" ht="18" customHeight="1">
      <c r="A30" s="35"/>
      <c r="B30" s="35"/>
      <c r="C30" s="35"/>
      <c r="D30" s="35"/>
      <c r="E30" s="35"/>
      <c r="F30" s="35"/>
      <c r="G30" s="35"/>
      <c r="H30" s="35"/>
      <c r="I30" s="35"/>
      <c r="J30" s="35"/>
      <c r="K30" s="35"/>
      <c r="L30" s="35"/>
      <c r="M30" s="2"/>
      <c r="O30" s="2"/>
      <c r="P30" s="2"/>
      <c r="Q30" s="2"/>
      <c r="R30" s="2"/>
      <c r="S30" s="2"/>
      <c r="T30" s="2"/>
      <c r="V30" s="3"/>
    </row>
    <row r="31" spans="1:22" ht="18" customHeight="1" hidden="1">
      <c r="A31" s="35"/>
      <c r="M31" s="2"/>
      <c r="O31" s="2"/>
      <c r="P31" s="2"/>
      <c r="Q31" s="2"/>
      <c r="R31" s="2"/>
      <c r="S31" s="2"/>
      <c r="T31" s="2"/>
      <c r="V31" s="3"/>
    </row>
    <row r="32" spans="1:22" ht="18" customHeight="1" hidden="1">
      <c r="A32" s="35"/>
      <c r="O32" s="2"/>
      <c r="P32" s="2"/>
      <c r="Q32" s="2"/>
      <c r="R32" s="2"/>
      <c r="S32" s="2"/>
      <c r="T32" s="2"/>
      <c r="V32" s="3"/>
    </row>
    <row r="33" spans="1:22" ht="18" customHeight="1" hidden="1">
      <c r="A33" s="35"/>
      <c r="O33" s="2"/>
      <c r="P33" s="2"/>
      <c r="Q33" s="2"/>
      <c r="R33" s="2"/>
      <c r="S33" s="2"/>
      <c r="T33" s="2"/>
      <c r="V33" s="3"/>
    </row>
    <row r="34" spans="1:22" ht="18" customHeight="1" hidden="1">
      <c r="A34" s="35"/>
      <c r="O34" s="2"/>
      <c r="P34" s="2"/>
      <c r="Q34" s="2"/>
      <c r="R34" s="2"/>
      <c r="S34" s="2"/>
      <c r="T34" s="2"/>
      <c r="V34" s="3"/>
    </row>
    <row r="35" spans="1:22" ht="18" customHeight="1" hidden="1">
      <c r="A35" s="35"/>
      <c r="S35" s="3"/>
      <c r="T35" s="3"/>
      <c r="V35" s="3"/>
    </row>
    <row r="36" spans="1:22" ht="18" customHeight="1" hidden="1">
      <c r="A36" s="35"/>
      <c r="S36" s="3"/>
      <c r="T36" s="3"/>
      <c r="V36" s="3"/>
    </row>
    <row r="37" ht="13.5" customHeight="1" hidden="1">
      <c r="A37" s="36"/>
    </row>
    <row r="38" ht="13.5" customHeight="1" hidden="1">
      <c r="A38" s="36"/>
    </row>
    <row r="39" ht="13.5" customHeight="1" hidden="1">
      <c r="A39" s="36"/>
    </row>
    <row r="40" ht="13.5" customHeight="1" hidden="1">
      <c r="A40" s="36"/>
    </row>
    <row r="41" ht="13.5" customHeight="1" hidden="1">
      <c r="A41" s="36"/>
    </row>
    <row r="42" spans="1:18" ht="13.5" customHeight="1" hidden="1">
      <c r="A42" s="36"/>
      <c r="B42" s="37"/>
      <c r="C42" s="37"/>
      <c r="D42" s="37"/>
      <c r="E42" s="37"/>
      <c r="F42" s="37"/>
      <c r="G42" s="37"/>
      <c r="H42" s="37"/>
      <c r="I42" s="37"/>
      <c r="J42" s="37"/>
      <c r="K42" s="37"/>
      <c r="L42" s="37"/>
      <c r="M42" s="37"/>
      <c r="N42" s="37"/>
      <c r="O42" s="37"/>
      <c r="P42" s="37"/>
      <c r="Q42" s="37"/>
      <c r="R42" s="36"/>
    </row>
    <row r="43" spans="2:17" ht="13.5" customHeight="1" hidden="1">
      <c r="B43" s="38"/>
      <c r="C43" s="38"/>
      <c r="D43" s="38"/>
      <c r="E43" s="38"/>
      <c r="F43" s="38"/>
      <c r="G43" s="38"/>
      <c r="H43" s="38"/>
      <c r="I43" s="38"/>
      <c r="J43" s="38"/>
      <c r="K43" s="38"/>
      <c r="L43" s="38"/>
      <c r="M43" s="38"/>
      <c r="N43" s="38"/>
      <c r="O43" s="38"/>
      <c r="P43" s="38"/>
      <c r="Q43" s="38"/>
    </row>
    <row r="44" spans="2:18" ht="13.5" customHeight="1" hidden="1">
      <c r="B44" s="743" t="s">
        <v>6</v>
      </c>
      <c r="C44" s="743"/>
      <c r="D44" s="743"/>
      <c r="E44" s="743"/>
      <c r="F44" s="743"/>
      <c r="G44" s="743"/>
      <c r="H44" s="743"/>
      <c r="I44" s="743"/>
      <c r="J44" s="743"/>
      <c r="K44" s="743"/>
      <c r="L44" s="743"/>
      <c r="M44" s="743"/>
      <c r="N44" s="743"/>
      <c r="O44" s="743"/>
      <c r="P44" s="743"/>
      <c r="Q44" s="743"/>
      <c r="R44" s="36" t="s">
        <v>7</v>
      </c>
    </row>
    <row r="45" spans="2:18" ht="13.5" customHeight="1" hidden="1">
      <c r="B45" s="743"/>
      <c r="C45" s="743"/>
      <c r="D45" s="743"/>
      <c r="E45" s="743"/>
      <c r="F45" s="743"/>
      <c r="G45" s="743"/>
      <c r="H45" s="743"/>
      <c r="I45" s="743"/>
      <c r="J45" s="743"/>
      <c r="K45" s="743"/>
      <c r="L45" s="743"/>
      <c r="M45" s="743"/>
      <c r="N45" s="743"/>
      <c r="O45" s="743"/>
      <c r="P45" s="743"/>
      <c r="Q45" s="743"/>
      <c r="R45" s="35"/>
    </row>
    <row r="46" spans="2:17" ht="13.5" customHeight="1" hidden="1">
      <c r="B46" s="743"/>
      <c r="C46" s="743"/>
      <c r="D46" s="743"/>
      <c r="E46" s="743"/>
      <c r="F46" s="743"/>
      <c r="G46" s="743"/>
      <c r="H46" s="743"/>
      <c r="I46" s="743"/>
      <c r="J46" s="743"/>
      <c r="K46" s="743"/>
      <c r="L46" s="743"/>
      <c r="M46" s="743"/>
      <c r="N46" s="743"/>
      <c r="O46" s="743"/>
      <c r="P46" s="743"/>
      <c r="Q46" s="743"/>
    </row>
    <row r="47" spans="2:17" ht="13.5" customHeight="1" hidden="1">
      <c r="B47" s="743"/>
      <c r="C47" s="743"/>
      <c r="D47" s="743"/>
      <c r="E47" s="743"/>
      <c r="F47" s="743"/>
      <c r="G47" s="743"/>
      <c r="H47" s="743"/>
      <c r="I47" s="743"/>
      <c r="J47" s="743"/>
      <c r="K47" s="743"/>
      <c r="L47" s="743"/>
      <c r="M47" s="743"/>
      <c r="N47" s="743"/>
      <c r="O47" s="743"/>
      <c r="P47" s="743"/>
      <c r="Q47" s="743"/>
    </row>
    <row r="48" spans="2:17" ht="13.5" customHeight="1" hidden="1">
      <c r="B48" s="743"/>
      <c r="C48" s="743"/>
      <c r="D48" s="743"/>
      <c r="E48" s="743"/>
      <c r="F48" s="743"/>
      <c r="G48" s="743"/>
      <c r="H48" s="743"/>
      <c r="I48" s="743"/>
      <c r="J48" s="743"/>
      <c r="K48" s="743"/>
      <c r="L48" s="743"/>
      <c r="M48" s="743"/>
      <c r="N48" s="743"/>
      <c r="O48" s="743"/>
      <c r="P48" s="743"/>
      <c r="Q48" s="743"/>
    </row>
    <row r="49" ht="13.5" customHeight="1" hidden="1"/>
    <row r="50" spans="2:18" ht="13.5" customHeight="1" hidden="1">
      <c r="B50" s="744" t="s">
        <v>8</v>
      </c>
      <c r="C50" s="744"/>
      <c r="D50" s="744"/>
      <c r="E50" s="744"/>
      <c r="F50" s="744"/>
      <c r="G50" s="744"/>
      <c r="H50" s="744"/>
      <c r="I50" s="744"/>
      <c r="J50" s="744"/>
      <c r="K50" s="744"/>
      <c r="L50" s="744"/>
      <c r="M50" s="744"/>
      <c r="N50" s="744"/>
      <c r="O50" s="744"/>
      <c r="P50" s="744"/>
      <c r="Q50" s="744"/>
      <c r="R50" s="39" t="s">
        <v>9</v>
      </c>
    </row>
    <row r="51" spans="2:17" ht="13.5" customHeight="1" hidden="1">
      <c r="B51" s="744"/>
      <c r="C51" s="744"/>
      <c r="D51" s="744"/>
      <c r="E51" s="744"/>
      <c r="F51" s="744"/>
      <c r="G51" s="744"/>
      <c r="H51" s="744"/>
      <c r="I51" s="744"/>
      <c r="J51" s="744"/>
      <c r="K51" s="744"/>
      <c r="L51" s="744"/>
      <c r="M51" s="744"/>
      <c r="N51" s="744"/>
      <c r="O51" s="744"/>
      <c r="P51" s="744"/>
      <c r="Q51" s="744"/>
    </row>
    <row r="52" spans="2:17" ht="13.5" customHeight="1" hidden="1">
      <c r="B52" s="744"/>
      <c r="C52" s="744"/>
      <c r="D52" s="744"/>
      <c r="E52" s="744"/>
      <c r="F52" s="744"/>
      <c r="G52" s="744"/>
      <c r="H52" s="744"/>
      <c r="I52" s="744"/>
      <c r="J52" s="744"/>
      <c r="K52" s="744"/>
      <c r="L52" s="744"/>
      <c r="M52" s="744"/>
      <c r="N52" s="744"/>
      <c r="O52" s="744"/>
      <c r="P52" s="744"/>
      <c r="Q52" s="744"/>
    </row>
    <row r="53" spans="2:17" ht="13.5" customHeight="1" hidden="1">
      <c r="B53" s="744"/>
      <c r="C53" s="744"/>
      <c r="D53" s="744"/>
      <c r="E53" s="744"/>
      <c r="F53" s="744"/>
      <c r="G53" s="744"/>
      <c r="H53" s="744"/>
      <c r="I53" s="744"/>
      <c r="J53" s="744"/>
      <c r="K53" s="744"/>
      <c r="L53" s="744"/>
      <c r="M53" s="744"/>
      <c r="N53" s="744"/>
      <c r="O53" s="744"/>
      <c r="P53" s="744"/>
      <c r="Q53" s="744"/>
    </row>
    <row r="54" ht="13.5" customHeight="1" hidden="1"/>
    <row r="55" spans="2:18" ht="13.5" customHeight="1" hidden="1">
      <c r="B55" s="745" t="s">
        <v>10</v>
      </c>
      <c r="C55" s="745"/>
      <c r="D55" s="745"/>
      <c r="E55" s="745"/>
      <c r="F55" s="745"/>
      <c r="G55" s="745"/>
      <c r="H55" s="745"/>
      <c r="I55" s="745"/>
      <c r="J55" s="745"/>
      <c r="K55" s="745"/>
      <c r="L55" s="745"/>
      <c r="M55" s="745"/>
      <c r="N55" s="745"/>
      <c r="O55" s="745"/>
      <c r="P55" s="745"/>
      <c r="Q55" s="745"/>
      <c r="R55" s="40" t="s">
        <v>11</v>
      </c>
    </row>
    <row r="56" spans="2:17" ht="13.5" customHeight="1" hidden="1">
      <c r="B56" s="745"/>
      <c r="C56" s="745"/>
      <c r="D56" s="745"/>
      <c r="E56" s="745"/>
      <c r="F56" s="745"/>
      <c r="G56" s="745"/>
      <c r="H56" s="745"/>
      <c r="I56" s="745"/>
      <c r="J56" s="745"/>
      <c r="K56" s="745"/>
      <c r="L56" s="745"/>
      <c r="M56" s="745"/>
      <c r="N56" s="745"/>
      <c r="O56" s="745"/>
      <c r="P56" s="745"/>
      <c r="Q56" s="745"/>
    </row>
    <row r="57" spans="2:17" ht="13.5" customHeight="1" hidden="1">
      <c r="B57" s="745"/>
      <c r="C57" s="745"/>
      <c r="D57" s="745"/>
      <c r="E57" s="745"/>
      <c r="F57" s="745"/>
      <c r="G57" s="745"/>
      <c r="H57" s="745"/>
      <c r="I57" s="745"/>
      <c r="J57" s="745"/>
      <c r="K57" s="745"/>
      <c r="L57" s="745"/>
      <c r="M57" s="745"/>
      <c r="N57" s="745"/>
      <c r="O57" s="745"/>
      <c r="P57" s="745"/>
      <c r="Q57" s="745"/>
    </row>
    <row r="58" spans="2:17" ht="15" customHeight="1" hidden="1">
      <c r="B58" s="745"/>
      <c r="C58" s="745"/>
      <c r="D58" s="745"/>
      <c r="E58" s="745"/>
      <c r="F58" s="745"/>
      <c r="G58" s="745"/>
      <c r="H58" s="745"/>
      <c r="I58" s="745"/>
      <c r="J58" s="745"/>
      <c r="K58" s="745"/>
      <c r="L58" s="745"/>
      <c r="M58" s="745"/>
      <c r="N58" s="745"/>
      <c r="O58" s="745"/>
      <c r="P58" s="745"/>
      <c r="Q58" s="745"/>
    </row>
    <row r="59" spans="2:18" ht="15" customHeight="1" hidden="1">
      <c r="B59" s="743" t="s">
        <v>12</v>
      </c>
      <c r="C59" s="743"/>
      <c r="D59" s="743"/>
      <c r="E59" s="743"/>
      <c r="F59" s="743"/>
      <c r="G59" s="743"/>
      <c r="H59" s="743"/>
      <c r="I59" s="743"/>
      <c r="J59" s="743"/>
      <c r="K59" s="743"/>
      <c r="L59" s="743"/>
      <c r="M59" s="743"/>
      <c r="N59" s="743"/>
      <c r="O59" s="743"/>
      <c r="P59" s="743"/>
      <c r="Q59" s="743"/>
      <c r="R59" s="36" t="s">
        <v>7</v>
      </c>
    </row>
    <row r="60" spans="2:17" ht="15" customHeight="1" hidden="1">
      <c r="B60" s="743"/>
      <c r="C60" s="743"/>
      <c r="D60" s="743"/>
      <c r="E60" s="743"/>
      <c r="F60" s="743"/>
      <c r="G60" s="743"/>
      <c r="H60" s="743"/>
      <c r="I60" s="743"/>
      <c r="J60" s="743"/>
      <c r="K60" s="743"/>
      <c r="L60" s="743"/>
      <c r="M60" s="743"/>
      <c r="N60" s="743"/>
      <c r="O60" s="743"/>
      <c r="P60" s="743"/>
      <c r="Q60" s="743"/>
    </row>
    <row r="61" ht="15" customHeight="1" hidden="1"/>
    <row r="62" spans="2:18" ht="15" customHeight="1" hidden="1">
      <c r="B62" s="744" t="s">
        <v>13</v>
      </c>
      <c r="C62" s="744"/>
      <c r="D62" s="744"/>
      <c r="E62" s="744"/>
      <c r="F62" s="744"/>
      <c r="G62" s="744"/>
      <c r="H62" s="744"/>
      <c r="I62" s="744"/>
      <c r="J62" s="744"/>
      <c r="K62" s="744"/>
      <c r="L62" s="744"/>
      <c r="M62" s="744"/>
      <c r="N62" s="744"/>
      <c r="O62" s="744"/>
      <c r="P62" s="744"/>
      <c r="Q62" s="744"/>
      <c r="R62" s="39" t="s">
        <v>9</v>
      </c>
    </row>
    <row r="63" spans="2:17" ht="15" customHeight="1" hidden="1">
      <c r="B63" s="744"/>
      <c r="C63" s="744"/>
      <c r="D63" s="744"/>
      <c r="E63" s="744"/>
      <c r="F63" s="744"/>
      <c r="G63" s="744"/>
      <c r="H63" s="744"/>
      <c r="I63" s="744"/>
      <c r="J63" s="744"/>
      <c r="K63" s="744"/>
      <c r="L63" s="744"/>
      <c r="M63" s="744"/>
      <c r="N63" s="744"/>
      <c r="O63" s="744"/>
      <c r="P63" s="744"/>
      <c r="Q63" s="744"/>
    </row>
    <row r="64" spans="2:18" ht="15" customHeight="1" hidden="1">
      <c r="B64" s="41"/>
      <c r="C64" s="41"/>
      <c r="D64" s="41"/>
      <c r="E64" s="41"/>
      <c r="F64" s="41"/>
      <c r="G64" s="41"/>
      <c r="H64" s="41"/>
      <c r="I64" s="41"/>
      <c r="J64" s="41"/>
      <c r="K64" s="41"/>
      <c r="L64" s="41"/>
      <c r="M64" s="41"/>
      <c r="N64" s="41"/>
      <c r="O64" s="41"/>
      <c r="P64" s="41"/>
      <c r="Q64" s="41"/>
      <c r="R64" s="40"/>
    </row>
    <row r="65" spans="2:18" ht="15" customHeight="1" hidden="1">
      <c r="B65" s="745" t="s">
        <v>14</v>
      </c>
      <c r="C65" s="745"/>
      <c r="D65" s="745"/>
      <c r="E65" s="745"/>
      <c r="F65" s="745"/>
      <c r="G65" s="745"/>
      <c r="H65" s="745"/>
      <c r="I65" s="745"/>
      <c r="J65" s="745"/>
      <c r="K65" s="745"/>
      <c r="L65" s="745"/>
      <c r="M65" s="745"/>
      <c r="N65" s="745"/>
      <c r="O65" s="745"/>
      <c r="P65" s="745"/>
      <c r="Q65" s="745"/>
      <c r="R65" s="40" t="s">
        <v>11</v>
      </c>
    </row>
    <row r="66" spans="2:18" ht="15" customHeight="1" hidden="1">
      <c r="B66" s="745"/>
      <c r="C66" s="745"/>
      <c r="D66" s="745"/>
      <c r="E66" s="745"/>
      <c r="F66" s="745"/>
      <c r="G66" s="745"/>
      <c r="H66" s="745"/>
      <c r="I66" s="745"/>
      <c r="J66" s="745"/>
      <c r="K66" s="745"/>
      <c r="L66" s="745"/>
      <c r="M66" s="745"/>
      <c r="N66" s="745"/>
      <c r="O66" s="745"/>
      <c r="P66" s="745"/>
      <c r="Q66" s="745"/>
      <c r="R66" s="36"/>
    </row>
    <row r="67" ht="15" customHeight="1" hidden="1"/>
    <row r="68" spans="2:18" ht="15" customHeight="1" hidden="1">
      <c r="B68" s="36"/>
      <c r="C68" s="36"/>
      <c r="D68" s="36"/>
      <c r="E68" s="36"/>
      <c r="F68" s="36"/>
      <c r="G68" s="36"/>
      <c r="H68" s="36"/>
      <c r="I68" s="36"/>
      <c r="J68" s="36"/>
      <c r="K68" s="36"/>
      <c r="L68" s="36"/>
      <c r="M68" s="36"/>
      <c r="N68" s="36"/>
      <c r="O68" s="36"/>
      <c r="P68" s="36"/>
      <c r="Q68" s="36"/>
      <c r="R68" s="36"/>
    </row>
    <row r="69" ht="15" customHeight="1" hidden="1"/>
    <row r="70" ht="15" customHeight="1" hidden="1"/>
  </sheetData>
  <sheetProtection password="EF77" sheet="1" objects="1" scenarios="1"/>
  <mergeCells count="13">
    <mergeCell ref="B3:S6"/>
    <mergeCell ref="B8:S9"/>
    <mergeCell ref="G11:K11"/>
    <mergeCell ref="H13:H15"/>
    <mergeCell ref="K13:Q13"/>
    <mergeCell ref="K14:Q15"/>
    <mergeCell ref="B59:Q60"/>
    <mergeCell ref="B62:Q63"/>
    <mergeCell ref="B65:Q66"/>
    <mergeCell ref="D17:R18"/>
    <mergeCell ref="B44:Q48"/>
    <mergeCell ref="B50:Q53"/>
    <mergeCell ref="B55:Q58"/>
  </mergeCells>
  <hyperlinks>
    <hyperlink ref="B11" r:id="rId1" display="www.guven-kutay.ch"/>
  </hyperlinks>
  <printOptions horizontalCentered="1"/>
  <pageMargins left="0.39375" right="0.39375" top="0.7875" bottom="0.7875" header="0.5118055555555555" footer="0.5118055555555555"/>
  <pageSetup horizontalDpi="300" verticalDpi="300" orientation="landscape" paperSize="9" scale="83"/>
  <headerFooter alignWithMargins="0">
    <oddFooter>&amp;L&amp;D/&amp;F/&amp;A&amp;R&amp;P - &amp;N</oddFooter>
  </headerFooter>
</worksheet>
</file>

<file path=xl/worksheets/sheet10.xml><?xml version="1.0" encoding="utf-8"?>
<worksheet xmlns="http://schemas.openxmlformats.org/spreadsheetml/2006/main" xmlns:r="http://schemas.openxmlformats.org/officeDocument/2006/relationships">
  <dimension ref="A1:R46"/>
  <sheetViews>
    <sheetView showGridLines="0" showRowColHeaders="0" zoomScale="80" zoomScaleNormal="80" workbookViewId="0" topLeftCell="A1">
      <selection activeCell="E43" sqref="E43"/>
    </sheetView>
  </sheetViews>
  <sheetFormatPr defaultColWidth="11.421875" defaultRowHeight="12.75"/>
  <cols>
    <col min="1" max="1" width="4.57421875" style="67" customWidth="1"/>
    <col min="2" max="2" width="11.7109375" style="67" customWidth="1"/>
    <col min="3" max="3" width="31.57421875" style="67" customWidth="1"/>
    <col min="4" max="5" width="7.7109375" style="67" customWidth="1"/>
    <col min="6" max="6" width="10.7109375" style="67" customWidth="1"/>
    <col min="7" max="7" width="5.421875" style="67" customWidth="1"/>
    <col min="8" max="8" width="36.7109375" style="67" customWidth="1"/>
    <col min="9" max="9" width="12.8515625" style="67" customWidth="1"/>
    <col min="10" max="10" width="7.7109375" style="67" customWidth="1"/>
    <col min="11" max="12" width="10.7109375" style="67" customWidth="1"/>
    <col min="13" max="14" width="4.7109375" style="67" customWidth="1"/>
    <col min="15" max="15" width="6.7109375" style="67" customWidth="1"/>
    <col min="16" max="16" width="10.57421875" style="67" customWidth="1"/>
    <col min="17" max="21" width="11.7109375" style="67" customWidth="1"/>
    <col min="22" max="22" width="5.421875" style="67" customWidth="1"/>
    <col min="23" max="25" width="11.421875" style="67" customWidth="1"/>
    <col min="26" max="26" width="14.57421875" style="67" customWidth="1"/>
    <col min="27" max="16384" width="11.421875" style="67" customWidth="1"/>
  </cols>
  <sheetData>
    <row r="1" spans="6:9" ht="15" customHeight="1">
      <c r="F1" s="3" t="str">
        <f>Info!N11</f>
        <v>Copyright : M. G. Kutay , Ver 2013.01</v>
      </c>
      <c r="I1" s="670" t="str">
        <f>Info!B11</f>
        <v>www.guven-kutay.ch</v>
      </c>
    </row>
    <row r="2" spans="2:18" ht="15" customHeight="1">
      <c r="B2" s="437" t="str">
        <f>0!B243</f>
        <v>8. Vida kesitinin kontrolü</v>
      </c>
      <c r="C2" s="716"/>
      <c r="F2" s="101"/>
      <c r="G2" s="101"/>
      <c r="H2" s="101"/>
      <c r="I2" s="101"/>
      <c r="K2" s="101"/>
      <c r="L2" s="101"/>
      <c r="M2" s="101"/>
      <c r="N2" s="101"/>
      <c r="O2" s="101"/>
      <c r="P2" s="101"/>
      <c r="R2" s="113"/>
    </row>
    <row r="3" spans="2:18" ht="15" customHeight="1">
      <c r="B3" s="68"/>
      <c r="C3" s="113"/>
      <c r="D3" s="113"/>
      <c r="E3" s="101"/>
      <c r="F3" s="101"/>
      <c r="G3" s="101"/>
      <c r="H3" s="101"/>
      <c r="I3" s="101"/>
      <c r="J3" s="101"/>
      <c r="K3" s="101"/>
      <c r="L3" s="101"/>
      <c r="M3" s="101"/>
      <c r="N3" s="101"/>
      <c r="O3" s="101"/>
      <c r="P3" s="114"/>
      <c r="Q3" s="101"/>
      <c r="R3" s="101"/>
    </row>
    <row r="4" spans="2:18" ht="15" customHeight="1">
      <c r="B4" s="593" t="str">
        <f>0!B156</f>
        <v>Proje :</v>
      </c>
      <c r="C4" s="752"/>
      <c r="D4" s="752"/>
      <c r="E4" s="752"/>
      <c r="F4" s="752"/>
      <c r="G4" s="101"/>
      <c r="L4" s="101"/>
      <c r="M4" s="101"/>
      <c r="N4" s="101"/>
      <c r="O4" s="101"/>
      <c r="P4" s="117"/>
      <c r="Q4" s="101"/>
      <c r="R4" s="101"/>
    </row>
    <row r="5" spans="12:13" ht="15" customHeight="1">
      <c r="L5" s="101"/>
      <c r="M5" s="101"/>
    </row>
    <row r="6" spans="12:13" ht="15" customHeight="1">
      <c r="L6" s="101"/>
      <c r="M6" s="101"/>
    </row>
    <row r="7" spans="12:13" ht="15" customHeight="1">
      <c r="L7" s="101"/>
      <c r="M7" s="101"/>
    </row>
    <row r="8" spans="12:13" ht="15" customHeight="1">
      <c r="L8" s="101"/>
      <c r="M8" s="101"/>
    </row>
    <row r="9" spans="12:13" ht="15" customHeight="1">
      <c r="L9" s="101"/>
      <c r="M9" s="101"/>
    </row>
    <row r="10" spans="6:13" ht="15" customHeight="1">
      <c r="F10" s="113"/>
      <c r="G10" s="113"/>
      <c r="H10" s="28" t="str">
        <f>IF(Info!H13&gt;2.5,"NUT",IF(Info!H13&gt;1.5,"MUTTER","SOMUN"))</f>
        <v>SOMUN</v>
      </c>
      <c r="L10" s="101"/>
      <c r="M10" s="101"/>
    </row>
    <row r="11" spans="8:13" ht="15" customHeight="1">
      <c r="H11" s="28"/>
      <c r="L11" s="101"/>
      <c r="M11" s="101"/>
    </row>
    <row r="12" spans="8:13" ht="15" customHeight="1">
      <c r="H12" s="28"/>
      <c r="L12" s="101"/>
      <c r="M12" s="101"/>
    </row>
    <row r="13" spans="8:13" ht="15" customHeight="1">
      <c r="H13" s="28"/>
      <c r="L13" s="101"/>
      <c r="M13" s="101"/>
    </row>
    <row r="14" spans="8:13" ht="15" customHeight="1">
      <c r="H14" s="28"/>
      <c r="L14" s="101"/>
      <c r="M14" s="101"/>
    </row>
    <row r="15" spans="8:13" ht="15" customHeight="1">
      <c r="H15" s="28" t="str">
        <f>IF(Info!H13&gt;2.5,"                 SCREW",IF(Info!H13&gt;1.5,"              SCHRAUBE","                  CIVATA"))</f>
        <v>                  CIVATA</v>
      </c>
      <c r="L15" s="101"/>
      <c r="M15" s="101"/>
    </row>
    <row r="16" spans="12:13" ht="15" customHeight="1">
      <c r="L16" s="101"/>
      <c r="M16" s="101"/>
    </row>
    <row r="17" spans="12:13" ht="15" customHeight="1">
      <c r="L17" s="101"/>
      <c r="M17" s="101"/>
    </row>
    <row r="18" spans="12:13" ht="15" customHeight="1">
      <c r="L18" s="101"/>
      <c r="M18" s="101"/>
    </row>
    <row r="19" spans="12:13" ht="15" customHeight="1">
      <c r="L19" s="101"/>
      <c r="M19" s="101"/>
    </row>
    <row r="20" spans="12:13" ht="15" customHeight="1">
      <c r="L20" s="101"/>
      <c r="M20" s="101"/>
    </row>
    <row r="21" spans="12:13" ht="15" customHeight="1">
      <c r="L21" s="101"/>
      <c r="M21" s="101"/>
    </row>
    <row r="22" spans="12:13" ht="15" customHeight="1">
      <c r="L22" s="101"/>
      <c r="M22" s="101"/>
    </row>
    <row r="23" spans="12:13" ht="15" customHeight="1">
      <c r="L23" s="101"/>
      <c r="M23" s="101"/>
    </row>
    <row r="24" spans="12:13" ht="15" customHeight="1">
      <c r="L24" s="101"/>
      <c r="M24" s="101"/>
    </row>
    <row r="25" spans="3:13" ht="15" customHeight="1">
      <c r="C25" s="692" t="s">
        <v>418</v>
      </c>
      <c r="H25" s="692" t="s">
        <v>419</v>
      </c>
      <c r="L25" s="101"/>
      <c r="M25" s="101"/>
    </row>
    <row r="26" spans="2:13" ht="15" customHeight="1">
      <c r="B26" s="70" t="str">
        <f>0!B109</f>
        <v>Vida değerleri</v>
      </c>
      <c r="D26" s="799" t="s">
        <v>420</v>
      </c>
      <c r="E26" s="799"/>
      <c r="F26" s="799"/>
      <c r="K26" s="717" t="str">
        <f>0!B179</f>
        <v>Cıvata</v>
      </c>
      <c r="L26" s="717" t="str">
        <f>0!B147</f>
        <v>Somun</v>
      </c>
      <c r="M26" s="101"/>
    </row>
    <row r="27" spans="2:13" ht="15" customHeight="1">
      <c r="B27" s="352" t="str">
        <f>0!B152</f>
        <v>Anma çapı</v>
      </c>
      <c r="C27" s="470"/>
      <c r="D27" s="655" t="s">
        <v>107</v>
      </c>
      <c r="E27" s="334" t="s">
        <v>56</v>
      </c>
      <c r="F27" s="718">
        <v>8</v>
      </c>
      <c r="H27" s="400" t="str">
        <f>0!B95</f>
        <v>Vida yükseklik</v>
      </c>
      <c r="I27" s="471" t="s">
        <v>341</v>
      </c>
      <c r="J27" s="334" t="s">
        <v>56</v>
      </c>
      <c r="K27" s="803">
        <f>COS(F29/2*PI()/180)*F28</f>
        <v>1.0825317547305484</v>
      </c>
      <c r="L27" s="803"/>
      <c r="M27" s="101"/>
    </row>
    <row r="28" spans="2:13" ht="15" customHeight="1">
      <c r="B28" s="331" t="str">
        <f>0!B200</f>
        <v>Adım veya hatve</v>
      </c>
      <c r="C28" s="476"/>
      <c r="D28" s="332" t="s">
        <v>109</v>
      </c>
      <c r="E28" s="719" t="s">
        <v>56</v>
      </c>
      <c r="F28" s="720">
        <v>1.25</v>
      </c>
      <c r="H28" s="183" t="str">
        <f>0!B170</f>
        <v>Cıvata vidasının kesme eni</v>
      </c>
      <c r="I28" s="202" t="s">
        <v>421</v>
      </c>
      <c r="J28" s="719" t="s">
        <v>56</v>
      </c>
      <c r="K28" s="721">
        <f>F28-K27/4</f>
        <v>0.9793670613173628</v>
      </c>
      <c r="L28" s="804"/>
      <c r="M28" s="101"/>
    </row>
    <row r="29" spans="2:13" ht="15" customHeight="1">
      <c r="B29" s="331" t="str">
        <f>0!B99</f>
        <v>Uç açısı</v>
      </c>
      <c r="C29" s="476"/>
      <c r="D29" s="722" t="s">
        <v>404</v>
      </c>
      <c r="E29" s="719" t="s">
        <v>422</v>
      </c>
      <c r="F29" s="720">
        <v>60</v>
      </c>
      <c r="H29" s="183" t="str">
        <f>0!B172</f>
        <v>Cıvata vidasının kesme çapı</v>
      </c>
      <c r="I29" s="479" t="s">
        <v>423</v>
      </c>
      <c r="J29" s="719" t="s">
        <v>56</v>
      </c>
      <c r="K29" s="723">
        <f>F27-2*K27+0.75*K27</f>
        <v>6.646835306586814</v>
      </c>
      <c r="L29" s="804"/>
      <c r="M29" s="101"/>
    </row>
    <row r="30" spans="2:16" ht="15" customHeight="1">
      <c r="B30" s="331" t="str">
        <f>0!B94</f>
        <v>Bölüm dairesi çapı</v>
      </c>
      <c r="C30" s="476"/>
      <c r="D30" s="332" t="s">
        <v>424</v>
      </c>
      <c r="E30" s="719" t="s">
        <v>56</v>
      </c>
      <c r="F30" s="724">
        <f>F27-0.64952*F28</f>
        <v>7.1881</v>
      </c>
      <c r="H30" s="183" t="str">
        <f>0!B173</f>
        <v>Vidanın kesme alanı</v>
      </c>
      <c r="I30" s="202" t="s">
        <v>425</v>
      </c>
      <c r="J30" s="719" t="s">
        <v>426</v>
      </c>
      <c r="K30" s="725">
        <f>PI()*K29*K28*F37</f>
        <v>46.16172706697235</v>
      </c>
      <c r="L30" s="804"/>
      <c r="N30" s="101"/>
      <c r="O30" s="101"/>
      <c r="P30" s="101"/>
    </row>
    <row r="31" spans="2:17" ht="15" customHeight="1">
      <c r="B31" s="183" t="str">
        <f>0!B61</f>
        <v>İşletme kuvveti</v>
      </c>
      <c r="C31" s="476"/>
      <c r="D31" s="332" t="s">
        <v>427</v>
      </c>
      <c r="E31" s="719" t="s">
        <v>46</v>
      </c>
      <c r="F31" s="726">
        <v>10</v>
      </c>
      <c r="H31" s="727"/>
      <c r="I31" s="202" t="s">
        <v>428</v>
      </c>
      <c r="J31" s="719" t="s">
        <v>426</v>
      </c>
      <c r="K31" s="725">
        <f>PI()*K29*K28*F35</f>
        <v>122.70479511617344</v>
      </c>
      <c r="L31" s="804"/>
      <c r="M31" s="101"/>
      <c r="N31" s="101"/>
      <c r="O31" s="101"/>
      <c r="P31" s="101"/>
      <c r="Q31" s="101"/>
    </row>
    <row r="32" spans="2:17" ht="15" customHeight="1">
      <c r="B32" s="183" t="str">
        <f>0!B198</f>
        <v>Cıvatanın akma mukavemet değeri</v>
      </c>
      <c r="C32" s="476"/>
      <c r="D32" s="332" t="s">
        <v>206</v>
      </c>
      <c r="E32" s="719" t="s">
        <v>100</v>
      </c>
      <c r="F32" s="726">
        <v>640</v>
      </c>
      <c r="H32" s="183" t="str">
        <f>0!B169</f>
        <v>Somunun kesme eni</v>
      </c>
      <c r="I32" s="202" t="s">
        <v>429</v>
      </c>
      <c r="J32" s="719" t="s">
        <v>56</v>
      </c>
      <c r="K32" s="800">
        <f>IF(F32&gt;F33,"",PI()*K29*K28)</f>
      </c>
      <c r="L32" s="724">
        <f>IF(F32&gt;F33,F28-K27/8,"")</f>
        <v>1.1146835306586815</v>
      </c>
      <c r="M32" s="101"/>
      <c r="N32" s="101"/>
      <c r="O32" s="101"/>
      <c r="P32" s="101"/>
      <c r="Q32" s="101"/>
    </row>
    <row r="33" spans="2:17" ht="15" customHeight="1">
      <c r="B33" s="183" t="str">
        <f>0!B197</f>
        <v>Somunun akma mukavemeti</v>
      </c>
      <c r="C33" s="476"/>
      <c r="D33" s="332" t="s">
        <v>206</v>
      </c>
      <c r="E33" s="719" t="s">
        <v>100</v>
      </c>
      <c r="F33" s="726">
        <v>220</v>
      </c>
      <c r="H33" s="183" t="str">
        <f>0!B171</f>
        <v>Somun vidasının kesme çapı</v>
      </c>
      <c r="I33" s="479" t="s">
        <v>423</v>
      </c>
      <c r="J33" s="719" t="s">
        <v>56</v>
      </c>
      <c r="K33" s="800"/>
      <c r="L33" s="728">
        <f>F27</f>
        <v>8</v>
      </c>
      <c r="M33" s="101"/>
      <c r="N33" s="101"/>
      <c r="O33" s="101"/>
      <c r="P33" s="101"/>
      <c r="Q33" s="101"/>
    </row>
    <row r="34" spans="2:17" ht="15" customHeight="1">
      <c r="B34" s="183" t="str">
        <f>0!B89</f>
        <v>İstenilen Emniyet</v>
      </c>
      <c r="C34" s="476"/>
      <c r="D34" s="332" t="s">
        <v>430</v>
      </c>
      <c r="E34" s="719" t="s">
        <v>431</v>
      </c>
      <c r="F34" s="726">
        <v>1</v>
      </c>
      <c r="H34" s="183" t="str">
        <f>0!B169</f>
        <v>Somunun kesme eni</v>
      </c>
      <c r="I34" s="202" t="s">
        <v>432</v>
      </c>
      <c r="J34" s="719" t="s">
        <v>426</v>
      </c>
      <c r="K34" s="800"/>
      <c r="L34" s="729">
        <f>PI()*L33*L32*F37</f>
        <v>63.235827902429634</v>
      </c>
      <c r="M34" s="101"/>
      <c r="N34" s="101"/>
      <c r="O34" s="101"/>
      <c r="P34" s="101"/>
      <c r="Q34" s="101"/>
    </row>
    <row r="35" spans="2:17" ht="15" customHeight="1">
      <c r="B35" s="183" t="str">
        <f>0!B79</f>
        <v>Taşıyıcı diş sayısı; biliniyorsa</v>
      </c>
      <c r="C35" s="476"/>
      <c r="D35" s="332" t="s">
        <v>127</v>
      </c>
      <c r="E35" s="719" t="s">
        <v>431</v>
      </c>
      <c r="F35" s="726">
        <v>6</v>
      </c>
      <c r="H35" s="727"/>
      <c r="I35" s="202" t="s">
        <v>433</v>
      </c>
      <c r="J35" s="719" t="s">
        <v>426</v>
      </c>
      <c r="K35" s="800"/>
      <c r="L35" s="729">
        <f>PI()*L33*L32*F35</f>
        <v>168.09031636775265</v>
      </c>
      <c r="M35" s="101"/>
      <c r="N35" s="101"/>
      <c r="O35" s="101"/>
      <c r="P35" s="101"/>
      <c r="Q35" s="101"/>
    </row>
    <row r="36" spans="2:17" ht="15" customHeight="1">
      <c r="B36" s="801" t="str">
        <f>0!B221</f>
        <v>Taşıyıcı diş sayısı n hesaplanınca kabul edilen diş sayısı yazılır.</v>
      </c>
      <c r="C36" s="801"/>
      <c r="D36" s="801"/>
      <c r="E36" s="801"/>
      <c r="F36" s="801"/>
      <c r="G36" s="101"/>
      <c r="H36" s="677" t="str">
        <f>0!B191</f>
        <v>İşletmedeki emniyet</v>
      </c>
      <c r="I36" s="479" t="s">
        <v>434</v>
      </c>
      <c r="J36" s="719" t="s">
        <v>435</v>
      </c>
      <c r="K36" s="730">
        <f>F32*0.8/(F31*10^3/K30)</f>
        <v>2.363480425828984</v>
      </c>
      <c r="L36" s="731">
        <f>F33*0.8/(F31*10^3/L34)</f>
        <v>1.1129505710827614</v>
      </c>
      <c r="M36" s="101"/>
      <c r="N36" s="101"/>
      <c r="O36" s="101"/>
      <c r="P36" s="101"/>
      <c r="Q36" s="101"/>
    </row>
    <row r="37" spans="2:17" ht="15" customHeight="1">
      <c r="B37" s="269" t="str">
        <f>0!B144</f>
        <v>minimum gerekli taşıyıcı diş sayısı</v>
      </c>
      <c r="C37" s="484"/>
      <c r="D37" s="657" t="s">
        <v>127</v>
      </c>
      <c r="E37" s="732" t="s">
        <v>431</v>
      </c>
      <c r="F37" s="733">
        <f>IF(F32&gt;F33,F31*10^3/(F33*0.8/F34*(L32*PI()*F30)),F31*10^3/(F32*0.8/F34*(K28*PI()*F30)))</f>
        <v>2.257208955359946</v>
      </c>
      <c r="H37" s="734"/>
      <c r="I37" s="735" t="s">
        <v>436</v>
      </c>
      <c r="J37" s="732" t="s">
        <v>431</v>
      </c>
      <c r="K37" s="736">
        <f>F32*0.8/(F31*10^3/K31)</f>
        <v>6.2824855099480805</v>
      </c>
      <c r="L37" s="737">
        <f>F33*0.8/(F31*10^3/L35)</f>
        <v>2.958389568072447</v>
      </c>
      <c r="M37" s="101"/>
      <c r="N37" s="101"/>
      <c r="O37" s="101"/>
      <c r="P37" s="101"/>
      <c r="Q37" s="101"/>
    </row>
    <row r="38" spans="1:6" ht="15" customHeight="1">
      <c r="A38" s="101"/>
      <c r="B38" s="738"/>
      <c r="C38" s="738"/>
      <c r="D38" s="738"/>
      <c r="E38" s="738"/>
      <c r="F38" s="738"/>
    </row>
    <row r="39" spans="2:11" ht="15" customHeight="1">
      <c r="B39" s="67" t="str">
        <f>0!B56</f>
        <v>Düşünceler :</v>
      </c>
      <c r="C39" s="802"/>
      <c r="D39" s="802"/>
      <c r="E39" s="802"/>
      <c r="F39" s="802"/>
      <c r="G39" s="802"/>
      <c r="H39" s="802"/>
      <c r="I39" s="802"/>
      <c r="J39" s="802"/>
      <c r="K39" s="802"/>
    </row>
    <row r="40" ht="15" customHeight="1"/>
    <row r="41" ht="15" customHeight="1"/>
    <row r="42" ht="15" customHeight="1"/>
    <row r="43" spans="6:8" ht="15" customHeight="1">
      <c r="F43" s="101"/>
      <c r="G43" s="101"/>
      <c r="H43" s="101"/>
    </row>
    <row r="44" spans="6:8" ht="15" customHeight="1">
      <c r="F44" s="101"/>
      <c r="G44" s="101"/>
      <c r="H44" s="101"/>
    </row>
    <row r="45" spans="6:8" ht="15" customHeight="1">
      <c r="F45" s="101"/>
      <c r="G45" s="101"/>
      <c r="H45" s="101"/>
    </row>
    <row r="46" spans="6:8" ht="15" customHeight="1">
      <c r="F46" s="101"/>
      <c r="G46" s="101"/>
      <c r="H46" s="101"/>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sheetData>
  <sheetProtection password="EF77" sheet="1" objects="1" scenarios="1"/>
  <mergeCells count="7">
    <mergeCell ref="K32:K35"/>
    <mergeCell ref="B36:F36"/>
    <mergeCell ref="C39:K39"/>
    <mergeCell ref="C4:F4"/>
    <mergeCell ref="D26:F26"/>
    <mergeCell ref="K27:L27"/>
    <mergeCell ref="L28:L31"/>
  </mergeCells>
  <printOptions horizontalCentered="1" verticalCentered="1"/>
  <pageMargins left="0.7875" right="0.7875" top="0.7875" bottom="0.7875" header="0.5118055555555555" footer="0.5118055555555555"/>
  <pageSetup horizontalDpi="300" verticalDpi="300" orientation="landscape" paperSize="9" scale="79"/>
  <headerFooter alignWithMargins="0">
    <oddFooter>&amp;L&amp;D / &amp;F / &amp;A&amp;R&amp;P von &amp;N</oddFooter>
  </headerFooter>
  <drawing r:id="rId1"/>
</worksheet>
</file>

<file path=xl/worksheets/sheet2.xml><?xml version="1.0" encoding="utf-8"?>
<worksheet xmlns="http://schemas.openxmlformats.org/spreadsheetml/2006/main" xmlns:r="http://schemas.openxmlformats.org/officeDocument/2006/relationships">
  <dimension ref="A1:AR282"/>
  <sheetViews>
    <sheetView showGridLines="0" showRowColHeaders="0" workbookViewId="0" topLeftCell="A1">
      <selection activeCell="F31" sqref="F31"/>
    </sheetView>
  </sheetViews>
  <sheetFormatPr defaultColWidth="11.421875" defaultRowHeight="12.75"/>
  <cols>
    <col min="1" max="1" width="2.8515625" style="42" customWidth="1"/>
    <col min="2" max="2" width="4.7109375" style="3" customWidth="1"/>
    <col min="3" max="3" width="11.7109375" style="7" customWidth="1"/>
    <col min="4" max="14" width="11.7109375" style="3" customWidth="1"/>
    <col min="15" max="15" width="2.7109375" style="3" customWidth="1"/>
    <col min="16" max="56" width="0" style="3" hidden="1" customWidth="1"/>
    <col min="57" max="59" width="2.7109375" style="3" customWidth="1"/>
    <col min="60" max="16384" width="11.421875" style="3" customWidth="1"/>
  </cols>
  <sheetData>
    <row r="1" spans="19:31" ht="18" customHeight="1">
      <c r="S1" s="3" t="s">
        <v>7</v>
      </c>
      <c r="T1" s="7" t="s">
        <v>15</v>
      </c>
      <c r="U1" s="7"/>
      <c r="V1" s="7"/>
      <c r="W1" s="43">
        <f>Info!H13</f>
        <v>1</v>
      </c>
      <c r="X1" s="7"/>
      <c r="Y1" s="7"/>
      <c r="Z1" s="7"/>
      <c r="AA1" s="7"/>
      <c r="AB1" s="7"/>
      <c r="AC1" s="7"/>
      <c r="AD1" s="7"/>
      <c r="AE1" s="7"/>
    </row>
    <row r="2" spans="2:31" ht="18" customHeight="1">
      <c r="B2" s="44" t="str">
        <f>IF(W1&gt;2.5,T3,IF(W1&gt;1.5,T2,T1))</f>
        <v>0. Programın kullanılması</v>
      </c>
      <c r="S2" s="45" t="s">
        <v>16</v>
      </c>
      <c r="T2" s="742" t="s">
        <v>17</v>
      </c>
      <c r="U2" s="742"/>
      <c r="V2" s="742"/>
      <c r="W2" s="742"/>
      <c r="X2" s="742"/>
      <c r="Y2" s="742"/>
      <c r="Z2" s="742"/>
      <c r="AA2" s="742"/>
      <c r="AB2" s="742"/>
      <c r="AC2" s="742"/>
      <c r="AD2" s="742"/>
      <c r="AE2" s="7"/>
    </row>
    <row r="3" spans="1:31" ht="18" customHeight="1">
      <c r="A3" s="44"/>
      <c r="S3" s="29" t="s">
        <v>18</v>
      </c>
      <c r="T3" s="739" t="s">
        <v>19</v>
      </c>
      <c r="U3" s="739"/>
      <c r="V3" s="739"/>
      <c r="W3" s="739"/>
      <c r="X3" s="739"/>
      <c r="Y3" s="739"/>
      <c r="Z3" s="739"/>
      <c r="AA3" s="739"/>
      <c r="AB3" s="739"/>
      <c r="AC3" s="739"/>
      <c r="AD3" s="739"/>
      <c r="AE3" s="7"/>
    </row>
    <row r="4" spans="1:31" ht="18" customHeight="1">
      <c r="A4" s="3"/>
      <c r="B4" s="46">
        <v>1</v>
      </c>
      <c r="C4" s="750" t="str">
        <f>IF(W1&gt;2.5,T9,IF(W1&gt;1.5,T7,T5))</f>
        <v>Bu programı bilgisayarınızda kendinize göre bir yere kopyasını çıkarınız. Hesap yapacağınız zaman bilgisayardaki programı kullanınız.</v>
      </c>
      <c r="D4" s="750"/>
      <c r="E4" s="750"/>
      <c r="F4" s="750"/>
      <c r="G4" s="750"/>
      <c r="H4" s="750"/>
      <c r="I4" s="750"/>
      <c r="J4" s="750"/>
      <c r="K4" s="750"/>
      <c r="L4" s="750"/>
      <c r="M4" s="750"/>
      <c r="N4" s="750"/>
      <c r="R4" s="42"/>
      <c r="S4" s="7"/>
      <c r="T4" s="7"/>
      <c r="U4" s="7"/>
      <c r="V4" s="7"/>
      <c r="W4" s="47"/>
      <c r="X4" s="7"/>
      <c r="Y4" s="7"/>
      <c r="Z4" s="7"/>
      <c r="AA4" s="7"/>
      <c r="AB4" s="7"/>
      <c r="AC4" s="7"/>
      <c r="AD4" s="7"/>
      <c r="AE4" s="7"/>
    </row>
    <row r="5" spans="1:44" ht="18" customHeight="1">
      <c r="A5" s="3"/>
      <c r="B5" s="42"/>
      <c r="C5" s="750"/>
      <c r="D5" s="750"/>
      <c r="E5" s="750"/>
      <c r="F5" s="750"/>
      <c r="G5" s="750"/>
      <c r="H5" s="750"/>
      <c r="I5" s="750"/>
      <c r="J5" s="750"/>
      <c r="K5" s="750"/>
      <c r="L5" s="750"/>
      <c r="M5" s="750"/>
      <c r="N5" s="750"/>
      <c r="S5" s="48">
        <v>1</v>
      </c>
      <c r="T5" s="741" t="s">
        <v>20</v>
      </c>
      <c r="U5" s="741"/>
      <c r="V5" s="741"/>
      <c r="W5" s="741"/>
      <c r="X5" s="741"/>
      <c r="Y5" s="741"/>
      <c r="Z5" s="741"/>
      <c r="AA5" s="741"/>
      <c r="AB5" s="741"/>
      <c r="AC5" s="741"/>
      <c r="AD5" s="741"/>
      <c r="AE5" s="741"/>
      <c r="AF5" s="48">
        <f>S27+1</f>
        <v>6</v>
      </c>
      <c r="AG5" s="741" t="s">
        <v>21</v>
      </c>
      <c r="AH5" s="741"/>
      <c r="AI5" s="741"/>
      <c r="AJ5" s="741"/>
      <c r="AK5" s="741"/>
      <c r="AL5" s="741"/>
      <c r="AM5" s="741"/>
      <c r="AN5" s="741"/>
      <c r="AO5" s="741"/>
      <c r="AP5" s="741"/>
      <c r="AQ5" s="741"/>
      <c r="AR5" s="741"/>
    </row>
    <row r="6" spans="1:44" ht="18" customHeight="1">
      <c r="A6" s="3"/>
      <c r="B6" s="42"/>
      <c r="C6" s="49"/>
      <c r="D6" s="50"/>
      <c r="E6" s="50"/>
      <c r="F6" s="50"/>
      <c r="G6" s="50"/>
      <c r="H6" s="50"/>
      <c r="I6" s="50"/>
      <c r="J6" s="50"/>
      <c r="K6" s="50"/>
      <c r="L6" s="50"/>
      <c r="M6" s="50"/>
      <c r="N6" s="50"/>
      <c r="T6" s="741"/>
      <c r="U6" s="741"/>
      <c r="V6" s="741"/>
      <c r="W6" s="741"/>
      <c r="X6" s="741"/>
      <c r="Y6" s="741"/>
      <c r="Z6" s="741"/>
      <c r="AA6" s="741"/>
      <c r="AB6" s="741"/>
      <c r="AC6" s="741"/>
      <c r="AD6" s="741"/>
      <c r="AE6" s="741"/>
      <c r="AF6" s="51">
        <f>S29+1</f>
        <v>6</v>
      </c>
      <c r="AG6" s="742" t="s">
        <v>22</v>
      </c>
      <c r="AH6" s="742"/>
      <c r="AI6" s="742"/>
      <c r="AJ6" s="742"/>
      <c r="AK6" s="742"/>
      <c r="AL6" s="742"/>
      <c r="AM6" s="742"/>
      <c r="AN6" s="742"/>
      <c r="AO6" s="742"/>
      <c r="AP6" s="742"/>
      <c r="AQ6" s="742"/>
      <c r="AR6" s="742"/>
    </row>
    <row r="7" spans="1:44" ht="18" customHeight="1">
      <c r="A7" s="3"/>
      <c r="B7" s="46">
        <f>B4+1</f>
        <v>2</v>
      </c>
      <c r="C7" s="750" t="str">
        <f>IF(W1&gt;2.5,T15,IF(W1&gt;1.5,T13,T11))</f>
        <v>Kullanacağınız sayfaya gelince, hesaplamaya başlamadan önce, bütün mavi karelerdeki değerleri siliniz. Böylece dikkatsizlik yanlışı yapma imkanını ortadan kaldırmış olursunuz.</v>
      </c>
      <c r="D7" s="750"/>
      <c r="E7" s="750"/>
      <c r="F7" s="750"/>
      <c r="G7" s="750"/>
      <c r="H7" s="750"/>
      <c r="I7" s="750"/>
      <c r="J7" s="750"/>
      <c r="K7" s="750"/>
      <c r="L7" s="750"/>
      <c r="M7" s="750"/>
      <c r="N7" s="750"/>
      <c r="S7" s="51">
        <v>1</v>
      </c>
      <c r="T7" s="742" t="s">
        <v>23</v>
      </c>
      <c r="U7" s="742"/>
      <c r="V7" s="742"/>
      <c r="W7" s="742"/>
      <c r="X7" s="742"/>
      <c r="Y7" s="742"/>
      <c r="Z7" s="742"/>
      <c r="AA7" s="742"/>
      <c r="AB7" s="742"/>
      <c r="AC7" s="742"/>
      <c r="AD7" s="742"/>
      <c r="AE7" s="742"/>
      <c r="AF7" s="52">
        <f>S31+1</f>
        <v>6</v>
      </c>
      <c r="AG7" s="739" t="s">
        <v>24</v>
      </c>
      <c r="AH7" s="739"/>
      <c r="AI7" s="739"/>
      <c r="AJ7" s="739"/>
      <c r="AK7" s="739"/>
      <c r="AL7" s="739"/>
      <c r="AM7" s="739"/>
      <c r="AN7" s="739"/>
      <c r="AO7" s="739"/>
      <c r="AP7" s="739"/>
      <c r="AQ7" s="739"/>
      <c r="AR7" s="739"/>
    </row>
    <row r="8" spans="1:31" ht="18" customHeight="1">
      <c r="A8" s="3"/>
      <c r="B8" s="42"/>
      <c r="C8" s="750"/>
      <c r="D8" s="750"/>
      <c r="E8" s="750"/>
      <c r="F8" s="750"/>
      <c r="G8" s="750"/>
      <c r="H8" s="750"/>
      <c r="I8" s="750"/>
      <c r="J8" s="750"/>
      <c r="K8" s="750"/>
      <c r="L8" s="750"/>
      <c r="M8" s="750"/>
      <c r="N8" s="750"/>
      <c r="T8" s="742"/>
      <c r="U8" s="742"/>
      <c r="V8" s="742"/>
      <c r="W8" s="742"/>
      <c r="X8" s="742"/>
      <c r="Y8" s="742"/>
      <c r="Z8" s="742"/>
      <c r="AA8" s="742"/>
      <c r="AB8" s="742"/>
      <c r="AC8" s="742"/>
      <c r="AD8" s="742"/>
      <c r="AE8" s="742"/>
    </row>
    <row r="9" spans="1:44" ht="18" customHeight="1">
      <c r="A9" s="3"/>
      <c r="B9" s="42"/>
      <c r="C9" s="49"/>
      <c r="D9" s="50"/>
      <c r="E9" s="50"/>
      <c r="F9" s="50"/>
      <c r="G9" s="50"/>
      <c r="H9" s="50"/>
      <c r="I9" s="50"/>
      <c r="J9" s="50"/>
      <c r="K9" s="50"/>
      <c r="L9" s="50"/>
      <c r="M9" s="50"/>
      <c r="N9" s="50"/>
      <c r="S9" s="52">
        <v>1</v>
      </c>
      <c r="T9" s="739" t="s">
        <v>25</v>
      </c>
      <c r="U9" s="739"/>
      <c r="V9" s="739"/>
      <c r="W9" s="739"/>
      <c r="X9" s="739"/>
      <c r="Y9" s="739"/>
      <c r="Z9" s="739"/>
      <c r="AA9" s="739"/>
      <c r="AB9" s="739"/>
      <c r="AC9" s="739"/>
      <c r="AD9" s="739"/>
      <c r="AE9" s="739"/>
      <c r="AF9" s="48">
        <f>AF5+1</f>
        <v>7</v>
      </c>
      <c r="AG9" s="741" t="s">
        <v>26</v>
      </c>
      <c r="AH9" s="741"/>
      <c r="AI9" s="741"/>
      <c r="AJ9" s="741"/>
      <c r="AK9" s="741"/>
      <c r="AL9" s="741"/>
      <c r="AM9" s="741"/>
      <c r="AN9" s="741"/>
      <c r="AO9" s="741"/>
      <c r="AP9" s="741"/>
      <c r="AQ9" s="741"/>
      <c r="AR9" s="741"/>
    </row>
    <row r="10" spans="1:44" ht="18" customHeight="1">
      <c r="A10" s="3"/>
      <c r="B10" s="46">
        <f>B7+1</f>
        <v>3</v>
      </c>
      <c r="C10" s="750" t="str">
        <f>IF(W1&gt;2.5,T21,IF(W1&gt;1.5,T19,T17))</f>
        <v>Sıra ile mavi karelere yapacağınız hesaba ait değerleri dikkatlice yerleştiriniz. Hesaplamalarınız için gerekli olmayan mavi karelere değerler yerleştirmek yanlış hesap sonuçlarına sebep olabilir. Dikkatli olmak gereklidir.</v>
      </c>
      <c r="D10" s="750"/>
      <c r="E10" s="750"/>
      <c r="F10" s="750"/>
      <c r="G10" s="750"/>
      <c r="H10" s="750"/>
      <c r="I10" s="750"/>
      <c r="J10" s="750"/>
      <c r="K10" s="750"/>
      <c r="L10" s="750"/>
      <c r="M10" s="750"/>
      <c r="N10" s="750"/>
      <c r="T10" s="739"/>
      <c r="U10" s="739"/>
      <c r="V10" s="739"/>
      <c r="W10" s="739"/>
      <c r="X10" s="739"/>
      <c r="Y10" s="739"/>
      <c r="Z10" s="739"/>
      <c r="AA10" s="739"/>
      <c r="AB10" s="739"/>
      <c r="AC10" s="739"/>
      <c r="AD10" s="739"/>
      <c r="AE10" s="739"/>
      <c r="AG10" s="741"/>
      <c r="AH10" s="741"/>
      <c r="AI10" s="741"/>
      <c r="AJ10" s="741"/>
      <c r="AK10" s="741"/>
      <c r="AL10" s="741"/>
      <c r="AM10" s="741"/>
      <c r="AN10" s="741"/>
      <c r="AO10" s="741"/>
      <c r="AP10" s="741"/>
      <c r="AQ10" s="741"/>
      <c r="AR10" s="741"/>
    </row>
    <row r="11" spans="1:44" ht="18" customHeight="1">
      <c r="A11" s="3"/>
      <c r="B11" s="42"/>
      <c r="C11" s="750"/>
      <c r="D11" s="750"/>
      <c r="E11" s="750"/>
      <c r="F11" s="750"/>
      <c r="G11" s="750"/>
      <c r="H11" s="750"/>
      <c r="I11" s="750"/>
      <c r="J11" s="750"/>
      <c r="K11" s="750"/>
      <c r="L11" s="750"/>
      <c r="M11" s="750"/>
      <c r="N11" s="750"/>
      <c r="S11" s="48">
        <f>S5+1</f>
        <v>2</v>
      </c>
      <c r="T11" s="741" t="s">
        <v>27</v>
      </c>
      <c r="U11" s="741"/>
      <c r="V11" s="741"/>
      <c r="W11" s="741"/>
      <c r="X11" s="741"/>
      <c r="Y11" s="741"/>
      <c r="Z11" s="741"/>
      <c r="AA11" s="741"/>
      <c r="AB11" s="741"/>
      <c r="AC11" s="741"/>
      <c r="AD11" s="741"/>
      <c r="AE11" s="741"/>
      <c r="AG11" s="741"/>
      <c r="AH11" s="741"/>
      <c r="AI11" s="741"/>
      <c r="AJ11" s="741"/>
      <c r="AK11" s="741"/>
      <c r="AL11" s="741"/>
      <c r="AM11" s="741"/>
      <c r="AN11" s="741"/>
      <c r="AO11" s="741"/>
      <c r="AP11" s="741"/>
      <c r="AQ11" s="741"/>
      <c r="AR11" s="741"/>
    </row>
    <row r="12" spans="1:44" ht="18" customHeight="1">
      <c r="A12" s="3"/>
      <c r="B12" s="42"/>
      <c r="C12" s="49"/>
      <c r="D12" s="50"/>
      <c r="E12" s="50"/>
      <c r="F12" s="50"/>
      <c r="G12" s="50"/>
      <c r="H12" s="50"/>
      <c r="I12" s="50"/>
      <c r="J12" s="50"/>
      <c r="K12" s="50"/>
      <c r="L12" s="50"/>
      <c r="M12" s="50"/>
      <c r="N12" s="50"/>
      <c r="T12" s="741"/>
      <c r="U12" s="741"/>
      <c r="V12" s="741"/>
      <c r="W12" s="741"/>
      <c r="X12" s="741"/>
      <c r="Y12" s="741"/>
      <c r="Z12" s="741"/>
      <c r="AA12" s="741"/>
      <c r="AB12" s="741"/>
      <c r="AC12" s="741"/>
      <c r="AD12" s="741"/>
      <c r="AE12" s="741"/>
      <c r="AG12" s="741"/>
      <c r="AH12" s="741"/>
      <c r="AI12" s="741"/>
      <c r="AJ12" s="741"/>
      <c r="AK12" s="741"/>
      <c r="AL12" s="741"/>
      <c r="AM12" s="741"/>
      <c r="AN12" s="741"/>
      <c r="AO12" s="741"/>
      <c r="AP12" s="741"/>
      <c r="AQ12" s="741"/>
      <c r="AR12" s="741"/>
    </row>
    <row r="13" spans="1:44" ht="18" customHeight="1">
      <c r="A13" s="3"/>
      <c r="B13" s="46">
        <f>B10+1</f>
        <v>4</v>
      </c>
      <c r="C13" s="750" t="str">
        <f>IF(W1&gt;2.5,T26,IF(W1&gt;1.5,T24,T22))</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3" s="750"/>
      <c r="E13" s="750"/>
      <c r="F13" s="750"/>
      <c r="G13" s="750"/>
      <c r="H13" s="750"/>
      <c r="I13" s="750"/>
      <c r="J13" s="750"/>
      <c r="K13" s="750"/>
      <c r="L13" s="750"/>
      <c r="M13" s="750"/>
      <c r="N13" s="750"/>
      <c r="S13" s="51">
        <f>S7+1</f>
        <v>2</v>
      </c>
      <c r="T13" s="742" t="s">
        <v>28</v>
      </c>
      <c r="U13" s="742"/>
      <c r="V13" s="742"/>
      <c r="W13" s="742"/>
      <c r="X13" s="742"/>
      <c r="Y13" s="742"/>
      <c r="Z13" s="742"/>
      <c r="AA13" s="742"/>
      <c r="AB13" s="742"/>
      <c r="AC13" s="742"/>
      <c r="AD13" s="742"/>
      <c r="AE13" s="742"/>
      <c r="AF13" s="51">
        <f>AF6+1</f>
        <v>7</v>
      </c>
      <c r="AG13" s="742" t="s">
        <v>29</v>
      </c>
      <c r="AH13" s="742"/>
      <c r="AI13" s="742"/>
      <c r="AJ13" s="742"/>
      <c r="AK13" s="742"/>
      <c r="AL13" s="742"/>
      <c r="AM13" s="742"/>
      <c r="AN13" s="742"/>
      <c r="AO13" s="742"/>
      <c r="AP13" s="742"/>
      <c r="AQ13" s="742"/>
      <c r="AR13" s="742"/>
    </row>
    <row r="14" spans="1:44" ht="18" customHeight="1">
      <c r="A14" s="3"/>
      <c r="B14" s="42"/>
      <c r="C14" s="750"/>
      <c r="D14" s="750"/>
      <c r="E14" s="750"/>
      <c r="F14" s="750"/>
      <c r="G14" s="750"/>
      <c r="H14" s="750"/>
      <c r="I14" s="750"/>
      <c r="J14" s="750"/>
      <c r="K14" s="750"/>
      <c r="L14" s="750"/>
      <c r="M14" s="750"/>
      <c r="N14" s="750"/>
      <c r="T14" s="742"/>
      <c r="U14" s="742"/>
      <c r="V14" s="742"/>
      <c r="W14" s="742"/>
      <c r="X14" s="742"/>
      <c r="Y14" s="742"/>
      <c r="Z14" s="742"/>
      <c r="AA14" s="742"/>
      <c r="AB14" s="742"/>
      <c r="AC14" s="742"/>
      <c r="AD14" s="742"/>
      <c r="AE14" s="742"/>
      <c r="AF14" s="48"/>
      <c r="AG14" s="742"/>
      <c r="AH14" s="742"/>
      <c r="AI14" s="742"/>
      <c r="AJ14" s="742"/>
      <c r="AK14" s="742"/>
      <c r="AL14" s="742"/>
      <c r="AM14" s="742"/>
      <c r="AN14" s="742"/>
      <c r="AO14" s="742"/>
      <c r="AP14" s="742"/>
      <c r="AQ14" s="742"/>
      <c r="AR14" s="742"/>
    </row>
    <row r="15" spans="1:44" ht="18" customHeight="1">
      <c r="A15" s="3"/>
      <c r="B15" s="42"/>
      <c r="C15" s="750"/>
      <c r="D15" s="750"/>
      <c r="E15" s="750"/>
      <c r="F15" s="750"/>
      <c r="G15" s="750"/>
      <c r="H15" s="750"/>
      <c r="I15" s="750"/>
      <c r="J15" s="750"/>
      <c r="K15" s="750"/>
      <c r="L15" s="750"/>
      <c r="M15" s="750"/>
      <c r="N15" s="750"/>
      <c r="S15" s="52">
        <f>S9+1</f>
        <v>2</v>
      </c>
      <c r="T15" s="739" t="s">
        <v>30</v>
      </c>
      <c r="U15" s="739"/>
      <c r="V15" s="739"/>
      <c r="W15" s="739"/>
      <c r="X15" s="739"/>
      <c r="Y15" s="739"/>
      <c r="Z15" s="739"/>
      <c r="AA15" s="739"/>
      <c r="AB15" s="739"/>
      <c r="AC15" s="739"/>
      <c r="AD15" s="739"/>
      <c r="AE15" s="739"/>
      <c r="AG15" s="742"/>
      <c r="AH15" s="742"/>
      <c r="AI15" s="742"/>
      <c r="AJ15" s="742"/>
      <c r="AK15" s="742"/>
      <c r="AL15" s="742"/>
      <c r="AM15" s="742"/>
      <c r="AN15" s="742"/>
      <c r="AO15" s="742"/>
      <c r="AP15" s="742"/>
      <c r="AQ15" s="742"/>
      <c r="AR15" s="742"/>
    </row>
    <row r="16" spans="1:44" ht="18" customHeight="1">
      <c r="A16" s="3"/>
      <c r="B16" s="46">
        <f>B13+1</f>
        <v>5</v>
      </c>
      <c r="C16" s="750" t="str">
        <f>IF(W1&gt;2.5,T31,IF(W1&gt;1.5,T29,T27))</f>
        <v>Çoğu mavi karenin çevresinde değerlerin nereden alınması gerektiğini gösteren bilgi bulunmaktadır. Bu gösterilere uyulması hesapların doğruluğu açısından çok önemlidir.</v>
      </c>
      <c r="D16" s="750"/>
      <c r="E16" s="750"/>
      <c r="F16" s="750"/>
      <c r="G16" s="750"/>
      <c r="H16" s="750"/>
      <c r="I16" s="750"/>
      <c r="J16" s="750"/>
      <c r="K16" s="750"/>
      <c r="L16" s="750"/>
      <c r="M16" s="750"/>
      <c r="N16" s="750"/>
      <c r="T16" s="739"/>
      <c r="U16" s="739"/>
      <c r="V16" s="739"/>
      <c r="W16" s="739"/>
      <c r="X16" s="739"/>
      <c r="Y16" s="739"/>
      <c r="Z16" s="739"/>
      <c r="AA16" s="739"/>
      <c r="AB16" s="739"/>
      <c r="AC16" s="739"/>
      <c r="AD16" s="739"/>
      <c r="AE16" s="739"/>
      <c r="AG16" s="742"/>
      <c r="AH16" s="742"/>
      <c r="AI16" s="742"/>
      <c r="AJ16" s="742"/>
      <c r="AK16" s="742"/>
      <c r="AL16" s="742"/>
      <c r="AM16" s="742"/>
      <c r="AN16" s="742"/>
      <c r="AO16" s="742"/>
      <c r="AP16" s="742"/>
      <c r="AQ16" s="742"/>
      <c r="AR16" s="742"/>
    </row>
    <row r="17" spans="2:44" s="3" customFormat="1" ht="18" customHeight="1">
      <c r="B17" s="42"/>
      <c r="C17" s="750"/>
      <c r="D17" s="750"/>
      <c r="E17" s="750"/>
      <c r="F17" s="750"/>
      <c r="G17" s="750"/>
      <c r="H17" s="750"/>
      <c r="I17" s="750"/>
      <c r="J17" s="750"/>
      <c r="K17" s="750"/>
      <c r="L17" s="750"/>
      <c r="M17" s="750"/>
      <c r="N17" s="750"/>
      <c r="S17" s="48">
        <f>S11+1</f>
        <v>3</v>
      </c>
      <c r="T17" s="741" t="s">
        <v>31</v>
      </c>
      <c r="U17" s="741"/>
      <c r="V17" s="741"/>
      <c r="W17" s="741"/>
      <c r="X17" s="741"/>
      <c r="Y17" s="741"/>
      <c r="Z17" s="741"/>
      <c r="AA17" s="741"/>
      <c r="AB17" s="741"/>
      <c r="AC17" s="741"/>
      <c r="AD17" s="741"/>
      <c r="AE17" s="741"/>
      <c r="AF17" s="52">
        <f>AF7+1</f>
        <v>7</v>
      </c>
      <c r="AG17" s="739" t="s">
        <v>32</v>
      </c>
      <c r="AH17" s="739"/>
      <c r="AI17" s="739"/>
      <c r="AJ17" s="739"/>
      <c r="AK17" s="739"/>
      <c r="AL17" s="739"/>
      <c r="AM17" s="739"/>
      <c r="AN17" s="739"/>
      <c r="AO17" s="739"/>
      <c r="AP17" s="739"/>
      <c r="AQ17" s="739"/>
      <c r="AR17" s="739"/>
    </row>
    <row r="18" spans="2:44" s="3" customFormat="1" ht="18" customHeight="1">
      <c r="B18" s="46">
        <f>B16+1</f>
        <v>6</v>
      </c>
      <c r="C18" s="751" t="str">
        <f>IF(W1&gt;2.5,AG7,IF(W1&gt;1.5,AG6,AG5))</f>
        <v>İnanılır hesapların yapılabilinmesi için konu hakkında gereken teoriyi önceden öğrenmek avantajdır.</v>
      </c>
      <c r="D18" s="751"/>
      <c r="E18" s="751"/>
      <c r="F18" s="751"/>
      <c r="G18" s="751"/>
      <c r="H18" s="751"/>
      <c r="I18" s="751"/>
      <c r="J18" s="751"/>
      <c r="K18" s="751"/>
      <c r="L18" s="751"/>
      <c r="M18" s="751"/>
      <c r="N18" s="751"/>
      <c r="T18" s="741"/>
      <c r="U18" s="741"/>
      <c r="V18" s="741"/>
      <c r="W18" s="741"/>
      <c r="X18" s="741"/>
      <c r="Y18" s="741"/>
      <c r="Z18" s="741"/>
      <c r="AA18" s="741"/>
      <c r="AB18" s="741"/>
      <c r="AC18" s="741"/>
      <c r="AD18" s="741"/>
      <c r="AE18" s="741"/>
      <c r="AG18" s="739"/>
      <c r="AH18" s="739"/>
      <c r="AI18" s="739"/>
      <c r="AJ18" s="739"/>
      <c r="AK18" s="739"/>
      <c r="AL18" s="739"/>
      <c r="AM18" s="739"/>
      <c r="AN18" s="739"/>
      <c r="AO18" s="739"/>
      <c r="AP18" s="739"/>
      <c r="AQ18" s="739"/>
      <c r="AR18" s="739"/>
    </row>
    <row r="19" spans="2:44" s="3" customFormat="1" ht="18" customHeight="1">
      <c r="B19" s="42"/>
      <c r="C19" s="49"/>
      <c r="D19" s="53"/>
      <c r="E19" s="53"/>
      <c r="F19" s="53"/>
      <c r="G19" s="53"/>
      <c r="H19" s="53"/>
      <c r="I19" s="53"/>
      <c r="J19" s="53"/>
      <c r="K19" s="53"/>
      <c r="L19" s="53"/>
      <c r="M19" s="53"/>
      <c r="N19" s="53"/>
      <c r="S19" s="51">
        <f>S13+1</f>
        <v>3</v>
      </c>
      <c r="T19" s="742" t="s">
        <v>33</v>
      </c>
      <c r="U19" s="742"/>
      <c r="V19" s="742"/>
      <c r="W19" s="742"/>
      <c r="X19" s="742"/>
      <c r="Y19" s="742"/>
      <c r="Z19" s="742"/>
      <c r="AA19" s="742"/>
      <c r="AB19" s="742"/>
      <c r="AC19" s="742"/>
      <c r="AD19" s="742"/>
      <c r="AE19" s="742"/>
      <c r="AG19" s="739"/>
      <c r="AH19" s="739"/>
      <c r="AI19" s="739"/>
      <c r="AJ19" s="739"/>
      <c r="AK19" s="739"/>
      <c r="AL19" s="739"/>
      <c r="AM19" s="739"/>
      <c r="AN19" s="739"/>
      <c r="AO19" s="739"/>
      <c r="AP19" s="739"/>
      <c r="AQ19" s="739"/>
      <c r="AR19" s="739"/>
    </row>
    <row r="20" spans="2:44" s="3" customFormat="1" ht="18" customHeight="1">
      <c r="B20" s="46">
        <f>B18+1</f>
        <v>7</v>
      </c>
      <c r="C20" s="750" t="str">
        <f>IF(W1&gt;2.5,AG17,IF(W1&gt;1.5,AG13,AG9))</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20" s="750"/>
      <c r="E20" s="750"/>
      <c r="F20" s="750"/>
      <c r="G20" s="750"/>
      <c r="H20" s="750"/>
      <c r="I20" s="750"/>
      <c r="J20" s="750"/>
      <c r="K20" s="750"/>
      <c r="L20" s="750"/>
      <c r="M20" s="750"/>
      <c r="N20" s="750"/>
      <c r="T20" s="742"/>
      <c r="U20" s="742"/>
      <c r="V20" s="742"/>
      <c r="W20" s="742"/>
      <c r="X20" s="742"/>
      <c r="Y20" s="742"/>
      <c r="Z20" s="742"/>
      <c r="AA20" s="742"/>
      <c r="AB20" s="742"/>
      <c r="AC20" s="742"/>
      <c r="AD20" s="742"/>
      <c r="AE20" s="742"/>
      <c r="AG20" s="739"/>
      <c r="AH20" s="739"/>
      <c r="AI20" s="739"/>
      <c r="AJ20" s="739"/>
      <c r="AK20" s="739"/>
      <c r="AL20" s="739"/>
      <c r="AM20" s="739"/>
      <c r="AN20" s="739"/>
      <c r="AO20" s="739"/>
      <c r="AP20" s="739"/>
      <c r="AQ20" s="739"/>
      <c r="AR20" s="739"/>
    </row>
    <row r="21" spans="2:44" s="3" customFormat="1" ht="18" customHeight="1">
      <c r="B21" s="46"/>
      <c r="C21" s="750"/>
      <c r="D21" s="750"/>
      <c r="E21" s="750"/>
      <c r="F21" s="750"/>
      <c r="G21" s="750"/>
      <c r="H21" s="750"/>
      <c r="I21" s="750"/>
      <c r="J21" s="750"/>
      <c r="K21" s="750"/>
      <c r="L21" s="750"/>
      <c r="M21" s="750"/>
      <c r="N21" s="750"/>
      <c r="S21" s="52">
        <f>S15+1</f>
        <v>3</v>
      </c>
      <c r="T21" s="739" t="s">
        <v>34</v>
      </c>
      <c r="U21" s="739"/>
      <c r="V21" s="739"/>
      <c r="W21" s="739"/>
      <c r="X21" s="739"/>
      <c r="Y21" s="739"/>
      <c r="Z21" s="739"/>
      <c r="AA21" s="739"/>
      <c r="AB21" s="739"/>
      <c r="AC21" s="739"/>
      <c r="AD21" s="739"/>
      <c r="AE21" s="739"/>
      <c r="AF21" s="48">
        <f>AF9+1</f>
        <v>8</v>
      </c>
      <c r="AG21" s="741" t="s">
        <v>35</v>
      </c>
      <c r="AH21" s="741"/>
      <c r="AI21" s="741"/>
      <c r="AJ21" s="741"/>
      <c r="AK21" s="741"/>
      <c r="AL21" s="741"/>
      <c r="AM21" s="741"/>
      <c r="AN21" s="741"/>
      <c r="AO21" s="741"/>
      <c r="AP21" s="741"/>
      <c r="AQ21" s="741"/>
      <c r="AR21" s="741"/>
    </row>
    <row r="22" spans="2:44" s="3" customFormat="1" ht="18" customHeight="1">
      <c r="B22" s="42"/>
      <c r="C22" s="750"/>
      <c r="D22" s="750"/>
      <c r="E22" s="750"/>
      <c r="F22" s="750"/>
      <c r="G22" s="750"/>
      <c r="H22" s="750"/>
      <c r="I22" s="750"/>
      <c r="J22" s="750"/>
      <c r="K22" s="750"/>
      <c r="L22" s="750"/>
      <c r="M22" s="750"/>
      <c r="N22" s="750"/>
      <c r="S22" s="48">
        <f>S17+1</f>
        <v>4</v>
      </c>
      <c r="T22" s="741" t="s">
        <v>36</v>
      </c>
      <c r="U22" s="741"/>
      <c r="V22" s="741"/>
      <c r="W22" s="741"/>
      <c r="X22" s="741"/>
      <c r="Y22" s="741"/>
      <c r="Z22" s="741"/>
      <c r="AA22" s="741"/>
      <c r="AB22" s="741"/>
      <c r="AC22" s="741"/>
      <c r="AD22" s="741"/>
      <c r="AE22" s="741"/>
      <c r="AG22" s="741"/>
      <c r="AH22" s="741"/>
      <c r="AI22" s="741"/>
      <c r="AJ22" s="741"/>
      <c r="AK22" s="741"/>
      <c r="AL22" s="741"/>
      <c r="AM22" s="741"/>
      <c r="AN22" s="741"/>
      <c r="AO22" s="741"/>
      <c r="AP22" s="741"/>
      <c r="AQ22" s="741"/>
      <c r="AR22" s="741"/>
    </row>
    <row r="23" spans="2:44" s="3" customFormat="1" ht="18" customHeight="1">
      <c r="B23" s="42"/>
      <c r="C23" s="750"/>
      <c r="D23" s="750"/>
      <c r="E23" s="750"/>
      <c r="F23" s="750"/>
      <c r="G23" s="750"/>
      <c r="H23" s="750"/>
      <c r="I23" s="750"/>
      <c r="J23" s="750"/>
      <c r="K23" s="750"/>
      <c r="L23" s="750"/>
      <c r="M23" s="750"/>
      <c r="N23" s="750"/>
      <c r="T23" s="741"/>
      <c r="U23" s="741"/>
      <c r="V23" s="741"/>
      <c r="W23" s="741"/>
      <c r="X23" s="741"/>
      <c r="Y23" s="741"/>
      <c r="Z23" s="741"/>
      <c r="AA23" s="741"/>
      <c r="AB23" s="741"/>
      <c r="AC23" s="741"/>
      <c r="AD23" s="741"/>
      <c r="AE23" s="741"/>
      <c r="AF23" s="54">
        <f>AF21</f>
        <v>8</v>
      </c>
      <c r="AG23" s="742" t="s">
        <v>37</v>
      </c>
      <c r="AH23" s="742"/>
      <c r="AI23" s="742"/>
      <c r="AJ23" s="742"/>
      <c r="AK23" s="742"/>
      <c r="AL23" s="742"/>
      <c r="AM23" s="742"/>
      <c r="AN23" s="742"/>
      <c r="AO23" s="742"/>
      <c r="AP23" s="742"/>
      <c r="AQ23" s="742"/>
      <c r="AR23" s="742"/>
    </row>
    <row r="24" spans="2:44" s="3" customFormat="1" ht="18" customHeight="1">
      <c r="B24" s="46">
        <f>B20+1</f>
        <v>8</v>
      </c>
      <c r="C24" s="750" t="str">
        <f>IF(W1&gt;2.5,AG25,IF(W1&gt;1.5,AG23,AG21))</f>
        <v>Eğer hesaplamalarında özel bir konstruksiyonun hesabı gerekiyorsa veya öğrenmek istediğiniz bir şey varsa, hiç çekinmeden bizimle temasa geçebilirsiniz. Bilgimizin yettiği kadar size memnuniyetle yardım ederiz.</v>
      </c>
      <c r="D24" s="750"/>
      <c r="E24" s="750"/>
      <c r="F24" s="750"/>
      <c r="G24" s="750"/>
      <c r="H24" s="750"/>
      <c r="I24" s="750"/>
      <c r="J24" s="750"/>
      <c r="K24" s="750"/>
      <c r="L24" s="750"/>
      <c r="M24" s="750"/>
      <c r="N24" s="750"/>
      <c r="S24" s="51">
        <f>S19+1</f>
        <v>4</v>
      </c>
      <c r="T24" s="742" t="s">
        <v>38</v>
      </c>
      <c r="U24" s="742"/>
      <c r="V24" s="742"/>
      <c r="W24" s="742"/>
      <c r="X24" s="742"/>
      <c r="Y24" s="742"/>
      <c r="Z24" s="742"/>
      <c r="AA24" s="742"/>
      <c r="AB24" s="742"/>
      <c r="AC24" s="742"/>
      <c r="AD24" s="742"/>
      <c r="AE24" s="742"/>
      <c r="AG24" s="742"/>
      <c r="AH24" s="742"/>
      <c r="AI24" s="742"/>
      <c r="AJ24" s="742"/>
      <c r="AK24" s="742"/>
      <c r="AL24" s="742"/>
      <c r="AM24" s="742"/>
      <c r="AN24" s="742"/>
      <c r="AO24" s="742"/>
      <c r="AP24" s="742"/>
      <c r="AQ24" s="742"/>
      <c r="AR24" s="742"/>
    </row>
    <row r="25" spans="3:44" ht="18" customHeight="1">
      <c r="C25" s="750"/>
      <c r="D25" s="750"/>
      <c r="E25" s="750"/>
      <c r="F25" s="750"/>
      <c r="G25" s="750"/>
      <c r="H25" s="750"/>
      <c r="I25" s="750"/>
      <c r="J25" s="750"/>
      <c r="K25" s="750"/>
      <c r="L25" s="750"/>
      <c r="M25" s="750"/>
      <c r="N25" s="750"/>
      <c r="S25" s="48"/>
      <c r="T25" s="742"/>
      <c r="U25" s="742"/>
      <c r="V25" s="742"/>
      <c r="W25" s="742"/>
      <c r="X25" s="742"/>
      <c r="Y25" s="742"/>
      <c r="Z25" s="742"/>
      <c r="AA25" s="742"/>
      <c r="AB25" s="742"/>
      <c r="AC25" s="742"/>
      <c r="AD25" s="742"/>
      <c r="AE25" s="742"/>
      <c r="AF25" s="55">
        <f>AF23</f>
        <v>8</v>
      </c>
      <c r="AG25" s="739" t="s">
        <v>39</v>
      </c>
      <c r="AH25" s="739"/>
      <c r="AI25" s="739"/>
      <c r="AJ25" s="739"/>
      <c r="AK25" s="739"/>
      <c r="AL25" s="739"/>
      <c r="AM25" s="739"/>
      <c r="AN25" s="739"/>
      <c r="AO25" s="739"/>
      <c r="AP25" s="739"/>
      <c r="AQ25" s="739"/>
      <c r="AR25" s="739"/>
    </row>
    <row r="26" spans="19:44" ht="18" customHeight="1">
      <c r="S26" s="52">
        <f>S21+1</f>
        <v>4</v>
      </c>
      <c r="T26" s="739" t="s">
        <v>40</v>
      </c>
      <c r="U26" s="739"/>
      <c r="V26" s="739"/>
      <c r="W26" s="739"/>
      <c r="X26" s="739"/>
      <c r="Y26" s="739"/>
      <c r="Z26" s="739"/>
      <c r="AA26" s="739"/>
      <c r="AB26" s="739"/>
      <c r="AC26" s="739"/>
      <c r="AD26" s="739"/>
      <c r="AE26" s="739"/>
      <c r="AG26" s="739"/>
      <c r="AH26" s="739"/>
      <c r="AI26" s="739"/>
      <c r="AJ26" s="739"/>
      <c r="AK26" s="739"/>
      <c r="AL26" s="739"/>
      <c r="AM26" s="739"/>
      <c r="AN26" s="739"/>
      <c r="AO26" s="739"/>
      <c r="AP26" s="739"/>
      <c r="AQ26" s="739"/>
      <c r="AR26" s="739"/>
    </row>
    <row r="27" spans="4:30" ht="18" customHeight="1">
      <c r="D27" s="56" t="str">
        <f>Info!G11</f>
        <v>e-mail :  info@guven-kutay.ch</v>
      </c>
      <c r="E27" s="45"/>
      <c r="F27" s="45"/>
      <c r="H27" s="56" t="str">
        <f>Info!B11</f>
        <v>www.guven-kutay.ch</v>
      </c>
      <c r="I27" s="56"/>
      <c r="J27" s="57"/>
      <c r="K27" s="57"/>
      <c r="L27" s="57"/>
      <c r="M27" s="57"/>
      <c r="N27" s="57"/>
      <c r="S27" s="48">
        <f>S22+1</f>
        <v>5</v>
      </c>
      <c r="T27" s="741" t="s">
        <v>41</v>
      </c>
      <c r="U27" s="741"/>
      <c r="V27" s="741"/>
      <c r="W27" s="741"/>
      <c r="X27" s="741"/>
      <c r="Y27" s="741"/>
      <c r="Z27" s="741"/>
      <c r="AA27" s="741"/>
      <c r="AB27" s="741"/>
      <c r="AC27" s="741"/>
      <c r="AD27" s="741"/>
    </row>
    <row r="28" spans="20:31" ht="18" customHeight="1">
      <c r="T28" s="741"/>
      <c r="U28" s="741"/>
      <c r="V28" s="741"/>
      <c r="W28" s="741"/>
      <c r="X28" s="741"/>
      <c r="Y28" s="741"/>
      <c r="Z28" s="741"/>
      <c r="AA28" s="741"/>
      <c r="AB28" s="741"/>
      <c r="AC28" s="741"/>
      <c r="AD28" s="741"/>
      <c r="AE28" s="7"/>
    </row>
    <row r="29" spans="19:31" ht="18" customHeight="1">
      <c r="S29" s="51">
        <f>S24+1</f>
        <v>5</v>
      </c>
      <c r="T29" s="742" t="s">
        <v>42</v>
      </c>
      <c r="U29" s="742"/>
      <c r="V29" s="742"/>
      <c r="W29" s="742"/>
      <c r="X29" s="742"/>
      <c r="Y29" s="742"/>
      <c r="Z29" s="742"/>
      <c r="AA29" s="742"/>
      <c r="AB29" s="742"/>
      <c r="AC29" s="742"/>
      <c r="AD29" s="742"/>
      <c r="AE29" s="7"/>
    </row>
    <row r="30" spans="4:31" ht="18" customHeight="1">
      <c r="D30" s="58"/>
      <c r="E30" s="58"/>
      <c r="F30" s="58"/>
      <c r="G30" s="58"/>
      <c r="H30" s="58"/>
      <c r="I30" s="58"/>
      <c r="J30" s="58"/>
      <c r="K30" s="58"/>
      <c r="L30" s="58"/>
      <c r="M30" s="58"/>
      <c r="N30" s="58"/>
      <c r="T30" s="742"/>
      <c r="U30" s="742"/>
      <c r="V30" s="742"/>
      <c r="W30" s="742"/>
      <c r="X30" s="742"/>
      <c r="Y30" s="742"/>
      <c r="Z30" s="742"/>
      <c r="AA30" s="742"/>
      <c r="AB30" s="742"/>
      <c r="AC30" s="742"/>
      <c r="AD30" s="742"/>
      <c r="AE30" s="45"/>
    </row>
    <row r="31" spans="19:31" ht="18" customHeight="1">
      <c r="S31" s="52">
        <f>S26+1</f>
        <v>5</v>
      </c>
      <c r="T31" s="739" t="s">
        <v>43</v>
      </c>
      <c r="U31" s="739"/>
      <c r="V31" s="739"/>
      <c r="W31" s="739"/>
      <c r="X31" s="739"/>
      <c r="Y31" s="739"/>
      <c r="Z31" s="739"/>
      <c r="AA31" s="739"/>
      <c r="AB31" s="739"/>
      <c r="AC31" s="739"/>
      <c r="AD31" s="739"/>
      <c r="AE31" s="45"/>
    </row>
    <row r="32" spans="3:31" ht="18" customHeight="1" hidden="1">
      <c r="C32" s="59"/>
      <c r="T32" s="739"/>
      <c r="U32" s="739"/>
      <c r="V32" s="739"/>
      <c r="W32" s="739"/>
      <c r="X32" s="739"/>
      <c r="Y32" s="739"/>
      <c r="Z32" s="739"/>
      <c r="AA32" s="739"/>
      <c r="AB32" s="739"/>
      <c r="AC32" s="739"/>
      <c r="AD32" s="739"/>
      <c r="AE32" s="60"/>
    </row>
    <row r="33" spans="1:31" ht="12" customHeight="1" hidden="1">
      <c r="A33" s="61"/>
      <c r="B33" s="62" t="str">
        <f>IF(Info!H13&gt;2.5,"*)1 If no information",IF(Info!H13&gt;1.5,"*)1 Wenn keine Angabe ","*)1  Eğer bir şart koşulmamışsa"))</f>
        <v>*)1  Eğer bir şart koşulmamışsa</v>
      </c>
      <c r="C33" s="63"/>
      <c r="D33" s="62"/>
      <c r="E33" s="62"/>
      <c r="F33" s="62"/>
      <c r="G33" s="62"/>
      <c r="H33" s="62"/>
      <c r="I33" s="62"/>
      <c r="J33" s="62"/>
      <c r="K33" s="62"/>
      <c r="L33" s="62"/>
      <c r="M33" s="62"/>
      <c r="N33" s="62"/>
      <c r="O33" s="62"/>
      <c r="T33" s="29"/>
      <c r="U33" s="29"/>
      <c r="V33" s="29"/>
      <c r="W33" s="29"/>
      <c r="X33" s="29"/>
      <c r="Y33" s="29"/>
      <c r="Z33" s="29"/>
      <c r="AA33" s="29"/>
      <c r="AB33" s="29"/>
      <c r="AC33" s="29"/>
      <c r="AD33" s="29"/>
      <c r="AE33" s="60"/>
    </row>
    <row r="34" spans="1:31" ht="12" customHeight="1" hidden="1">
      <c r="A34" s="61"/>
      <c r="B34" s="62" t="str">
        <f>IF(Info!H13&gt;2.5,"1.Part  *)1",IF(Info!H13&gt;1.5,"1.Bauteil  *)1","1.Parça  *)1 "))</f>
        <v>1.Parça  *)1 </v>
      </c>
      <c r="C34" s="63"/>
      <c r="D34" s="62"/>
      <c r="E34" s="62"/>
      <c r="F34" s="62"/>
      <c r="G34" s="62"/>
      <c r="H34" s="62"/>
      <c r="I34" s="62"/>
      <c r="J34" s="62"/>
      <c r="K34" s="62"/>
      <c r="L34" s="62"/>
      <c r="M34" s="62"/>
      <c r="N34" s="62"/>
      <c r="O34" s="62"/>
      <c r="T34" s="29"/>
      <c r="U34" s="29"/>
      <c r="V34" s="29"/>
      <c r="W34" s="29"/>
      <c r="X34" s="29"/>
      <c r="Y34" s="29"/>
      <c r="Z34" s="29"/>
      <c r="AA34" s="29"/>
      <c r="AB34" s="29"/>
      <c r="AC34" s="29"/>
      <c r="AD34" s="29"/>
      <c r="AE34" s="60"/>
    </row>
    <row r="35" spans="1:15" ht="12" customHeight="1" hidden="1">
      <c r="A35" s="61"/>
      <c r="B35" s="62" t="str">
        <f>IF(Info!H13&gt;2.5,"1. Coarse selection of the screw without post-checking",IF(Info!H13&gt;1.5,"1. Grobauswahl der Schraube ohne Nachkontrolle","1. Hesap yapılmadan kullanılacak cıvatanın kaba seçimi"))</f>
        <v>1. Hesap yapılmadan kullanılacak cıvatanın kaba seçimi</v>
      </c>
      <c r="C35" s="62"/>
      <c r="D35" s="62"/>
      <c r="E35" s="62"/>
      <c r="F35" s="62"/>
      <c r="H35" s="62"/>
      <c r="I35" s="62"/>
      <c r="J35" s="62"/>
      <c r="K35" s="62"/>
      <c r="L35" s="62"/>
      <c r="M35" s="62"/>
      <c r="N35" s="62"/>
      <c r="O35" s="62"/>
    </row>
    <row r="36" spans="1:15" ht="12" customHeight="1" hidden="1">
      <c r="A36" s="61"/>
      <c r="B36" s="62" t="str">
        <f>IF(Info!H13&gt;2.5,"2. Part",IF(Info!H13&gt;1.5,"2. Bauteil","2. Parça"))</f>
        <v>2. Parça</v>
      </c>
      <c r="C36" s="62"/>
      <c r="D36" s="62"/>
      <c r="E36" s="62"/>
      <c r="F36" s="62"/>
      <c r="H36" s="62"/>
      <c r="I36" s="62"/>
      <c r="J36" s="62"/>
      <c r="K36" s="62"/>
      <c r="L36" s="62"/>
      <c r="M36" s="62"/>
      <c r="N36" s="62"/>
      <c r="O36" s="62"/>
    </row>
    <row r="37" spans="1:15" ht="12" customHeight="1" hidden="1">
      <c r="A37" s="61"/>
      <c r="B37" s="62" t="str">
        <f>IF(Info!H13&gt;2.5,"3. Part",IF(Info!H13&gt;1.5,"3. Bauteil","3. Parça"))</f>
        <v>3. Parça</v>
      </c>
      <c r="C37" s="62"/>
      <c r="D37" s="62"/>
      <c r="E37" s="62"/>
      <c r="F37" s="62"/>
      <c r="H37" s="62"/>
      <c r="I37" s="62"/>
      <c r="J37" s="62"/>
      <c r="K37" s="62"/>
      <c r="L37" s="62"/>
      <c r="M37" s="62"/>
      <c r="N37" s="62"/>
      <c r="O37" s="62"/>
    </row>
    <row r="38" spans="1:15" ht="12" customHeight="1" hidden="1">
      <c r="A38" s="62"/>
      <c r="B38" s="62" t="str">
        <f>IF(Info!H13&gt;2.5,"10% Field",IF(Info!H13&gt;1.5,"10% Bereich","%10 sınırı"))</f>
        <v>%10 sınırı</v>
      </c>
      <c r="C38" s="62"/>
      <c r="D38" s="62"/>
      <c r="F38" s="62"/>
      <c r="G38" s="62"/>
      <c r="H38" s="62"/>
      <c r="I38" s="62"/>
      <c r="J38" s="62"/>
      <c r="K38" s="62"/>
      <c r="L38" s="62"/>
      <c r="M38" s="62"/>
      <c r="N38" s="62"/>
      <c r="O38" s="62"/>
    </row>
    <row r="39" spans="1:15" ht="12" customHeight="1" hidden="1">
      <c r="A39" s="62"/>
      <c r="B39" s="62" t="str">
        <f>IF(Info!$H$13&gt;2.5,"Shearing stress",IF(Info!$H$13&gt;1.5,"Abscherung","Kesme"))</f>
        <v>Kesme</v>
      </c>
      <c r="C39" s="62"/>
      <c r="D39" s="62"/>
      <c r="F39" s="62"/>
      <c r="G39" s="62"/>
      <c r="H39" s="62"/>
      <c r="I39" s="62"/>
      <c r="J39" s="62"/>
      <c r="K39" s="62"/>
      <c r="L39" s="62"/>
      <c r="M39" s="62"/>
      <c r="N39" s="62"/>
      <c r="O39" s="62"/>
    </row>
    <row r="40" spans="1:15" ht="12" customHeight="1" hidden="1">
      <c r="A40" s="62"/>
      <c r="B40" s="62" t="str">
        <f>IF(Info!H13&gt;2.5,"Attention!",IF(Info!H13&gt;1.5,"Achtung!","Dikkat!"))</f>
        <v>Dikkat!</v>
      </c>
      <c r="C40" s="62"/>
      <c r="D40" s="62"/>
      <c r="E40" s="62"/>
      <c r="F40" s="62"/>
      <c r="G40" s="62"/>
      <c r="H40" s="62"/>
      <c r="I40" s="62"/>
      <c r="J40" s="62"/>
      <c r="K40" s="62"/>
      <c r="L40" s="62"/>
      <c r="M40" s="62"/>
      <c r="N40" s="62"/>
      <c r="O40" s="62"/>
    </row>
    <row r="41" spans="1:15" ht="12" customHeight="1" hidden="1">
      <c r="A41" s="62"/>
      <c r="B41" s="62" t="str">
        <f>IF(Info!H13&gt;2.5,"Assumption",IF(Info!H13&gt;1.5,"Annahme","Alınan"))</f>
        <v>Alınan</v>
      </c>
      <c r="C41" s="62"/>
      <c r="D41" s="62"/>
      <c r="E41" s="62"/>
      <c r="F41" s="62"/>
      <c r="G41" s="62"/>
      <c r="H41" s="62"/>
      <c r="I41" s="62"/>
      <c r="J41" s="62"/>
      <c r="K41" s="62"/>
      <c r="L41" s="62"/>
      <c r="M41" s="62"/>
      <c r="N41" s="62"/>
      <c r="O41" s="62"/>
    </row>
    <row r="42" spans="1:15" ht="12" customHeight="1" hidden="1">
      <c r="A42" s="62"/>
      <c r="B42" s="62" t="str">
        <f>IF(Info!$H$13&gt;2.5,"Stress factor",IF(Info!$H$13&gt;1.5,"Ansträngungsverhältnis","Zorlanma katsayısı"))</f>
        <v>Zorlanma katsayısı</v>
      </c>
      <c r="C42" s="62"/>
      <c r="D42" s="62"/>
      <c r="E42" s="62"/>
      <c r="F42" s="62"/>
      <c r="G42" s="62"/>
      <c r="H42" s="62"/>
      <c r="I42" s="62"/>
      <c r="J42" s="62"/>
      <c r="K42" s="62"/>
      <c r="L42" s="62"/>
      <c r="M42" s="62"/>
      <c r="N42" s="62"/>
      <c r="O42" s="62"/>
    </row>
    <row r="43" spans="1:15" ht="12" customHeight="1" hidden="1">
      <c r="A43" s="62"/>
      <c r="B43" s="64" t="str">
        <f>IF(Info!H13&gt;2.5,"Torque factor",IF(Info!H13&gt;1.5,"Anziehfaktor","Sıkıştırma faktörü"))</f>
        <v>Sıkıştırma faktörü</v>
      </c>
      <c r="C43" s="62"/>
      <c r="D43" s="62"/>
      <c r="E43" s="62"/>
      <c r="F43" s="62"/>
      <c r="G43" s="62"/>
      <c r="H43" s="62"/>
      <c r="I43" s="62"/>
      <c r="J43" s="62"/>
      <c r="K43" s="62"/>
      <c r="L43" s="62"/>
      <c r="M43" s="62"/>
      <c r="N43" s="62"/>
      <c r="O43" s="62"/>
    </row>
    <row r="44" spans="1:15" ht="12" customHeight="1" hidden="1">
      <c r="A44" s="62"/>
      <c r="B44" s="62" t="str">
        <f>IF(Info!H13&gt;2.5,"Bolting torque",IF(Info!H13&gt;1.5,"Anziehdrehmoment","Sıkma momenti"))</f>
        <v>Sıkma momenti</v>
      </c>
      <c r="C44" s="62"/>
      <c r="D44" s="62"/>
      <c r="E44" s="62"/>
      <c r="F44" s="62"/>
      <c r="G44" s="62"/>
      <c r="H44" s="62"/>
      <c r="I44" s="62"/>
      <c r="J44" s="62"/>
      <c r="K44" s="62"/>
      <c r="L44" s="62"/>
      <c r="M44" s="62"/>
      <c r="N44" s="62"/>
      <c r="O44" s="62"/>
    </row>
    <row r="45" spans="1:15" ht="12" customHeight="1" hidden="1">
      <c r="A45" s="62"/>
      <c r="B45" s="64" t="str">
        <f>IF(Info!H13&gt;2.5,"max. bolting torque",IF(Info!H13&gt;1.5,"max. Anziehdrehmoment","max. Sıkma momenti"))</f>
        <v>max. Sıkma momenti</v>
      </c>
      <c r="C45" s="62"/>
      <c r="D45" s="62"/>
      <c r="E45" s="62"/>
      <c r="F45" s="62"/>
      <c r="G45" s="62"/>
      <c r="H45" s="62"/>
      <c r="I45" s="62"/>
      <c r="J45" s="62"/>
      <c r="K45" s="62"/>
      <c r="L45" s="62"/>
      <c r="M45" s="62"/>
      <c r="N45" s="62"/>
      <c r="O45" s="62"/>
    </row>
    <row r="46" spans="1:15" ht="12" customHeight="1" hidden="1">
      <c r="A46" s="62"/>
      <c r="B46" s="64" t="str">
        <f>IF(Info!H13&gt;2.5,"min. bolting torque ",IF(Info!H13&gt;1.5,"min. Anziehdrehmoment","min. Sıkma momenti"))</f>
        <v>min. Sıkma momenti</v>
      </c>
      <c r="C46" s="62"/>
      <c r="D46" s="62"/>
      <c r="E46" s="62"/>
      <c r="F46" s="62"/>
      <c r="G46" s="62"/>
      <c r="H46" s="62"/>
      <c r="I46" s="62"/>
      <c r="J46" s="62"/>
      <c r="K46" s="62"/>
      <c r="L46" s="62"/>
      <c r="M46" s="62"/>
      <c r="N46" s="62"/>
      <c r="O46" s="62"/>
    </row>
    <row r="47" spans="1:18" ht="12" customHeight="1" hidden="1">
      <c r="A47" s="62"/>
      <c r="B47" s="62" t="str">
        <f>IF(Info!H13&gt;2.5,"From order",IF(Info!H13&gt;1.5,"aus Anforderungen","Şartnameden"))</f>
        <v>Şartnameden</v>
      </c>
      <c r="C47" s="62"/>
      <c r="D47" s="62"/>
      <c r="F47"/>
      <c r="G47"/>
      <c r="H47"/>
      <c r="I47"/>
      <c r="J47" s="62"/>
      <c r="K47" s="62"/>
      <c r="L47" s="62"/>
      <c r="M47" s="62"/>
      <c r="N47" s="62"/>
      <c r="O47" s="62"/>
      <c r="R47" s="42"/>
    </row>
    <row r="48" spans="1:18" ht="12" customHeight="1" hidden="1">
      <c r="A48" s="62"/>
      <c r="B48" s="62" t="str">
        <f>IF(Info!H13&gt;2.5,"Cycles strength ",IF(Info!H13&gt;1.5,"Ausschlagsfestigkeit","Genlik mukavemeti"))</f>
        <v>Genlik mukavemeti</v>
      </c>
      <c r="C48" s="62"/>
      <c r="D48" s="62"/>
      <c r="F48"/>
      <c r="G48"/>
      <c r="H48"/>
      <c r="I48"/>
      <c r="J48" s="62"/>
      <c r="K48" s="62"/>
      <c r="L48" s="62"/>
      <c r="M48" s="62"/>
      <c r="N48" s="62"/>
      <c r="O48" s="62"/>
      <c r="R48" s="42"/>
    </row>
    <row r="49" spans="1:18" ht="12" customHeight="1" hidden="1">
      <c r="A49" s="62"/>
      <c r="B49" s="64" t="str">
        <f>IF(Info!H13&gt;2.5,"Cycles force",IF(Info!H13&gt;1.5,"Ausschlagkraft","Genlik kuvveti"))</f>
        <v>Genlik kuvveti</v>
      </c>
      <c r="C49" s="62"/>
      <c r="F49"/>
      <c r="G49"/>
      <c r="H49"/>
      <c r="I49"/>
      <c r="J49" s="62"/>
      <c r="K49" s="62"/>
      <c r="L49" s="62"/>
      <c r="M49" s="62"/>
      <c r="N49" s="62"/>
      <c r="O49" s="62"/>
      <c r="R49" s="42"/>
    </row>
    <row r="50" spans="1:18" ht="12" customHeight="1" hidden="1">
      <c r="A50" s="62"/>
      <c r="B50" s="62" t="str">
        <f>IF(Info!H13&gt;2.5,"Cycles stress",IF(Info!H13&gt;1.5,"Ausschlagspannung","Genlik gerilimi"))</f>
        <v>Genlik gerilimi</v>
      </c>
      <c r="C50" s="62"/>
      <c r="D50" s="62"/>
      <c r="F50"/>
      <c r="G50"/>
      <c r="H50"/>
      <c r="I50"/>
      <c r="J50" s="62"/>
      <c r="K50" s="62"/>
      <c r="L50" s="62"/>
      <c r="M50" s="62"/>
      <c r="N50" s="62"/>
      <c r="O50" s="62"/>
      <c r="R50" s="42"/>
    </row>
    <row r="51" spans="1:18" ht="12" customHeight="1" hidden="1">
      <c r="A51" s="62"/>
      <c r="B51" s="62" t="str">
        <f>IF(Info!H13&gt;2.5," Cyclic stress amplitude durıng operating",IF(Info!H13&gt;1.5,"Ausschlag-Spannung im Betrieb","İşletmede genlik gerilimi"))</f>
        <v>İşletmede genlik gerilimi</v>
      </c>
      <c r="C51" s="62"/>
      <c r="D51" s="62"/>
      <c r="F51"/>
      <c r="G51"/>
      <c r="H51"/>
      <c r="I51"/>
      <c r="J51" s="62"/>
      <c r="K51" s="62"/>
      <c r="L51" s="62"/>
      <c r="M51" s="62"/>
      <c r="N51" s="62"/>
      <c r="O51" s="62"/>
      <c r="R51" s="42"/>
    </row>
    <row r="52" spans="1:18" ht="12" customHeight="1" hidden="1">
      <c r="A52" s="62"/>
      <c r="B52" s="62" t="str">
        <f>IF(Info!$H$13&gt;2.5,"Selection",IF(Info!$H$13&gt;1.5,"Auswahl","Seçilen"))</f>
        <v>Seçilen</v>
      </c>
      <c r="C52" s="62"/>
      <c r="D52" s="62"/>
      <c r="F52"/>
      <c r="G52"/>
      <c r="H52"/>
      <c r="I52"/>
      <c r="J52" s="62"/>
      <c r="K52" s="62"/>
      <c r="L52" s="62"/>
      <c r="M52" s="62"/>
      <c r="N52" s="62"/>
      <c r="O52" s="62"/>
      <c r="R52" s="42"/>
    </row>
    <row r="53" spans="1:18" ht="12" customHeight="1" hidden="1">
      <c r="A53" s="62"/>
      <c r="B53" s="62" t="str">
        <f>IF(Info!$H$13&gt;2.5,"Diameter selection and data of the thread",IF(Info!$H$13&gt;1.5,"Auswahl und Daten des Gewindes","Çap seçimi ve vida değerleri"))</f>
        <v>Çap seçimi ve vida değerleri</v>
      </c>
      <c r="C53" s="62"/>
      <c r="D53" s="62"/>
      <c r="F53"/>
      <c r="G53"/>
      <c r="H53"/>
      <c r="I53"/>
      <c r="J53" s="62"/>
      <c r="K53" s="62"/>
      <c r="L53" s="62"/>
      <c r="M53" s="62"/>
      <c r="N53" s="62"/>
      <c r="O53" s="62"/>
      <c r="R53" s="42"/>
    </row>
    <row r="54" spans="1:18" ht="12" customHeight="1" hidden="1">
      <c r="A54" s="62"/>
      <c r="B54" s="62" t="str">
        <f>IF(Info!H13&gt;2.5,"Selection table of the screw",IF(Info!H13&gt;1.5,"Auswahltabelle der Schraube","Cıvata şuradan seçilecektir:"))</f>
        <v>Cıvata şuradan seçilecektir:</v>
      </c>
      <c r="C54" s="62"/>
      <c r="D54" s="62"/>
      <c r="F54" s="62"/>
      <c r="G54" s="62"/>
      <c r="H54" s="62"/>
      <c r="I54" s="62"/>
      <c r="J54" s="62"/>
      <c r="K54" s="62"/>
      <c r="L54" s="62"/>
      <c r="M54" s="62"/>
      <c r="N54" s="62"/>
      <c r="O54" s="62"/>
      <c r="R54" s="42"/>
    </row>
    <row r="55" spans="1:18" ht="12" customHeight="1" hidden="1">
      <c r="A55" s="62"/>
      <c r="B55" s="62" t="str">
        <f>IF(Info!H13&gt;2.5,"Load case   ",IF(Info!H13&gt;1.5,"Belastungsart","Zorlama hali"))</f>
        <v>Zorlama hali</v>
      </c>
      <c r="C55" s="62"/>
      <c r="D55" s="62"/>
      <c r="E55" s="62"/>
      <c r="F55" s="62"/>
      <c r="G55" s="62"/>
      <c r="H55" s="62"/>
      <c r="I55" s="62"/>
      <c r="J55" s="62"/>
      <c r="K55" s="62"/>
      <c r="L55" s="62"/>
      <c r="M55" s="62"/>
      <c r="N55" s="62"/>
      <c r="O55" s="62"/>
      <c r="R55" s="42"/>
    </row>
    <row r="56" spans="1:18" ht="12" customHeight="1" hidden="1">
      <c r="A56" s="62"/>
      <c r="B56" s="62" t="str">
        <f>IF(Info!$H$13&gt;2.5,"Remarks :",IF(Info!$H$13&gt;1.5,"Bemerkungen :","Düşünceler :"))</f>
        <v>Düşünceler :</v>
      </c>
      <c r="C56" s="62"/>
      <c r="D56" s="62"/>
      <c r="E56" s="62"/>
      <c r="F56" s="62"/>
      <c r="G56" s="62"/>
      <c r="H56" s="62"/>
      <c r="I56" s="62"/>
      <c r="J56" s="62"/>
      <c r="K56" s="62"/>
      <c r="L56" s="62"/>
      <c r="M56" s="62"/>
      <c r="N56" s="62"/>
      <c r="O56" s="62"/>
      <c r="R56" s="42"/>
    </row>
    <row r="57" spans="1:18" ht="12" customHeight="1" hidden="1">
      <c r="A57" s="62"/>
      <c r="B57" s="62" t="str">
        <f>IF(Info!$H$13&gt;2.5,"Designation:",IF(Info!$H$13&gt;1.5,"Benennung :","Tanımı :"))</f>
        <v>Tanımı :</v>
      </c>
      <c r="C57" s="62"/>
      <c r="D57" s="62"/>
      <c r="E57" s="62"/>
      <c r="F57" s="62"/>
      <c r="G57" s="62"/>
      <c r="H57" s="62"/>
      <c r="I57" s="62"/>
      <c r="J57" s="62"/>
      <c r="K57" s="62"/>
      <c r="L57" s="62"/>
      <c r="M57" s="62"/>
      <c r="N57" s="62"/>
      <c r="O57" s="62"/>
      <c r="R57" s="42"/>
    </row>
    <row r="58" spans="1:18" ht="12" customHeight="1" hidden="1">
      <c r="A58" s="62"/>
      <c r="B58" s="62" t="str">
        <f>IF(Info!H13&gt;2.5,"Computed",IF(Info!H13&gt;1.5,"Berechnet","Hesaplanan"))</f>
        <v>Hesaplanan</v>
      </c>
      <c r="C58" s="62"/>
      <c r="D58" s="62"/>
      <c r="E58" s="62"/>
      <c r="F58" s="62"/>
      <c r="G58" s="62"/>
      <c r="H58" s="62"/>
      <c r="I58" s="62"/>
      <c r="J58" s="62"/>
      <c r="K58" s="62"/>
      <c r="L58" s="62"/>
      <c r="M58" s="62"/>
      <c r="N58" s="62"/>
      <c r="O58" s="62"/>
      <c r="R58" s="42"/>
    </row>
    <row r="59" spans="1:18" ht="12" customHeight="1" hidden="1">
      <c r="A59" s="62"/>
      <c r="B59" s="62" t="str">
        <f>IF(Info!H13&gt;2.5,"Operating",IF(Info!H13&gt;1.5,"Betrieb","İşletme"))</f>
        <v>İşletme</v>
      </c>
      <c r="C59" s="62"/>
      <c r="D59" s="62"/>
      <c r="E59" s="62"/>
      <c r="F59" s="62"/>
      <c r="G59" s="62"/>
      <c r="H59" s="62"/>
      <c r="I59" s="62"/>
      <c r="J59" s="62"/>
      <c r="K59" s="62"/>
      <c r="L59" s="62"/>
      <c r="M59" s="62"/>
      <c r="N59" s="62"/>
      <c r="O59" s="62"/>
      <c r="R59" s="42"/>
    </row>
    <row r="60" spans="1:18" ht="12" customHeight="1" hidden="1">
      <c r="A60" s="62"/>
      <c r="B60" s="62" t="str">
        <f>IF(Info!$H$13&gt;2.5,"Operating data :",IF(Info!$H$13&gt;1.5,"Betriebsdaten :","İşletme değerleri :"))</f>
        <v>İşletme değerleri :</v>
      </c>
      <c r="C60" s="62"/>
      <c r="E60" s="62"/>
      <c r="F60" s="62"/>
      <c r="G60" s="62"/>
      <c r="H60" s="62"/>
      <c r="I60" s="62"/>
      <c r="J60" s="62"/>
      <c r="K60" s="62"/>
      <c r="L60" s="62"/>
      <c r="M60" s="62"/>
      <c r="N60" s="62"/>
      <c r="O60" s="62"/>
      <c r="R60" s="42"/>
    </row>
    <row r="61" spans="1:18" ht="12" customHeight="1" hidden="1">
      <c r="A61" s="62"/>
      <c r="B61" s="62" t="str">
        <f>IF(Info!$H$13&gt;2.5,"Operating force",IF(Info!$H$13&gt;1.5,"Betriebskraft","İşletme kuvveti"))</f>
        <v>İşletme kuvveti</v>
      </c>
      <c r="C61" s="62"/>
      <c r="D61" s="62"/>
      <c r="E61" s="62"/>
      <c r="F61" s="62"/>
      <c r="G61" s="62"/>
      <c r="H61" s="62"/>
      <c r="I61" s="62"/>
      <c r="J61" s="62"/>
      <c r="K61" s="62"/>
      <c r="L61" s="62"/>
      <c r="M61" s="62"/>
      <c r="N61" s="62"/>
      <c r="O61" s="62"/>
      <c r="R61" s="42"/>
    </row>
    <row r="62" spans="1:31" ht="12" customHeight="1" hidden="1">
      <c r="A62" s="62"/>
      <c r="B62" s="62" t="str">
        <f>IF(Info!H13&gt;2.5,"Operating force of a screw",IF(Info!H13&gt;1.5,"Betriebskraft einer Schraube","İşletme kuvveti"))</f>
        <v>İşletme kuvveti</v>
      </c>
      <c r="C62" s="62"/>
      <c r="D62" s="62"/>
      <c r="F62" s="62"/>
      <c r="G62" s="62"/>
      <c r="H62" s="62"/>
      <c r="I62" s="62"/>
      <c r="J62" s="62"/>
      <c r="K62" s="62"/>
      <c r="L62" s="62"/>
      <c r="M62" s="62"/>
      <c r="N62" s="62"/>
      <c r="O62" s="62"/>
      <c r="R62" s="42"/>
      <c r="U62" s="45"/>
      <c r="V62" s="45"/>
      <c r="W62" s="45"/>
      <c r="X62" s="45"/>
      <c r="Y62" s="45"/>
      <c r="Z62" s="45"/>
      <c r="AA62" s="45"/>
      <c r="AB62" s="45"/>
      <c r="AC62" s="45"/>
      <c r="AD62" s="45"/>
      <c r="AE62" s="45"/>
    </row>
    <row r="63" spans="1:31" ht="12" customHeight="1" hidden="1">
      <c r="A63" s="62"/>
      <c r="B63" s="62" t="str">
        <f>IF(Info!$H$13&gt;2.5,"Denotation of the thread",IF(Info!$H$13&gt;1.5,"Bezeichnung des Gewindes","Vidanın tanımı"))</f>
        <v>Vidanın tanımı</v>
      </c>
      <c r="C63" s="62"/>
      <c r="D63" s="62"/>
      <c r="F63" s="62"/>
      <c r="G63" s="62"/>
      <c r="H63" s="62"/>
      <c r="I63" s="62"/>
      <c r="J63" s="62"/>
      <c r="K63" s="62"/>
      <c r="L63" s="62"/>
      <c r="M63" s="62"/>
      <c r="N63" s="62"/>
      <c r="O63" s="62"/>
      <c r="R63" s="42"/>
      <c r="U63" s="45"/>
      <c r="V63" s="45"/>
      <c r="W63" s="45"/>
      <c r="X63" s="45"/>
      <c r="Y63" s="45"/>
      <c r="Z63" s="45"/>
      <c r="AA63" s="45"/>
      <c r="AB63" s="45"/>
      <c r="AC63" s="45"/>
      <c r="AD63" s="45"/>
      <c r="AE63" s="45"/>
    </row>
    <row r="64" spans="1:31" ht="12" customHeight="1" hidden="1">
      <c r="A64" s="62"/>
      <c r="B64" s="62" t="str">
        <f>IF(Info!H13&gt;2.5," Bending stress",IF(Info!H13&gt;1.5,"Biegespannung","Eğilme gerilimi"))</f>
        <v>Eğilme gerilimi</v>
      </c>
      <c r="C64" s="62"/>
      <c r="D64" s="62"/>
      <c r="F64" s="62"/>
      <c r="G64" s="62"/>
      <c r="H64" s="62"/>
      <c r="I64" s="62"/>
      <c r="J64" s="62"/>
      <c r="K64" s="62"/>
      <c r="L64" s="62"/>
      <c r="M64" s="62"/>
      <c r="N64" s="62"/>
      <c r="O64" s="62"/>
      <c r="R64" s="42"/>
      <c r="U64" s="45"/>
      <c r="V64" s="45"/>
      <c r="W64" s="45"/>
      <c r="X64" s="45"/>
      <c r="Y64" s="45"/>
      <c r="Z64" s="45"/>
      <c r="AA64" s="45"/>
      <c r="AB64" s="45"/>
      <c r="AC64" s="45"/>
      <c r="AD64" s="45"/>
      <c r="AE64" s="45"/>
    </row>
    <row r="65" spans="1:31" ht="12" customHeight="1" hidden="1">
      <c r="A65" s="62"/>
      <c r="B65" s="62" t="str">
        <f>IF(Info!H13&gt;2.5,"Allowable strength",IF(Info!H13&gt;1.5,"Biegefestägkeit","Eğilme mukavemeti"))</f>
        <v>Eğilme mukavemeti</v>
      </c>
      <c r="C65" s="62"/>
      <c r="D65" s="62"/>
      <c r="E65" s="62"/>
      <c r="F65" s="62"/>
      <c r="G65" s="62"/>
      <c r="H65" s="62"/>
      <c r="I65" s="62"/>
      <c r="J65" s="62"/>
      <c r="K65" s="62"/>
      <c r="L65" s="62"/>
      <c r="M65" s="62"/>
      <c r="N65" s="62"/>
      <c r="O65" s="62"/>
      <c r="R65" s="42"/>
      <c r="U65" s="45"/>
      <c r="V65" s="45"/>
      <c r="W65" s="45"/>
      <c r="X65" s="45"/>
      <c r="Y65" s="45"/>
      <c r="Z65" s="45"/>
      <c r="AA65" s="45"/>
      <c r="AB65" s="45"/>
      <c r="AC65" s="45"/>
      <c r="AD65" s="45"/>
      <c r="AE65" s="45"/>
    </row>
    <row r="66" spans="1:31" ht="12" customHeight="1" hidden="1">
      <c r="A66" s="62"/>
      <c r="B66" s="62" t="str">
        <f>IF(Info!H13&gt;2.5,"Allowable strength",IF(Info!H13&gt;1.5,"Biegefes. der Schraube","Eğilme mukavemeti"))</f>
        <v>Eğilme mukavemeti</v>
      </c>
      <c r="C66" s="62"/>
      <c r="D66" s="62"/>
      <c r="E66" s="62"/>
      <c r="F66" s="62"/>
      <c r="G66" s="62"/>
      <c r="H66" s="62"/>
      <c r="I66" s="62"/>
      <c r="J66" s="62"/>
      <c r="K66" s="62"/>
      <c r="L66" s="62"/>
      <c r="M66" s="62"/>
      <c r="N66" s="62"/>
      <c r="O66" s="62"/>
      <c r="R66" s="42"/>
      <c r="U66" s="45"/>
      <c r="V66" s="45"/>
      <c r="W66" s="45"/>
      <c r="X66" s="45"/>
      <c r="Y66" s="45"/>
      <c r="Z66" s="45"/>
      <c r="AA66" s="45"/>
      <c r="AB66" s="45"/>
      <c r="AC66" s="45"/>
      <c r="AD66" s="45"/>
      <c r="AE66" s="45"/>
    </row>
    <row r="67" spans="1:31" ht="12" customHeight="1" hidden="1">
      <c r="A67" s="62"/>
      <c r="B67" s="62" t="str">
        <f>IF(Info!H13&gt;2.5,"Bend moment",IF(Info!H13&gt;1.5,"Biegewiderst-Mom","Eğilme Karşıkoyma-Mom."))</f>
        <v>Eğilme Karşıkoyma-Mom.</v>
      </c>
      <c r="C67" s="62"/>
      <c r="D67" s="62"/>
      <c r="E67" s="62"/>
      <c r="F67" s="62"/>
      <c r="G67" s="62"/>
      <c r="H67" s="62"/>
      <c r="I67" s="62"/>
      <c r="J67" s="62"/>
      <c r="K67" s="62"/>
      <c r="L67" s="62"/>
      <c r="M67" s="62"/>
      <c r="N67" s="62"/>
      <c r="O67" s="62"/>
      <c r="R67" s="42"/>
      <c r="U67" s="45"/>
      <c r="V67" s="45"/>
      <c r="W67" s="45"/>
      <c r="X67" s="45"/>
      <c r="Y67" s="45"/>
      <c r="Z67" s="45"/>
      <c r="AA67" s="45"/>
      <c r="AB67" s="45"/>
      <c r="AC67" s="45"/>
      <c r="AD67" s="45"/>
      <c r="AE67" s="45"/>
    </row>
    <row r="68" spans="1:31" ht="12" customHeight="1" hidden="1">
      <c r="A68" s="62"/>
      <c r="B68" s="62" t="str">
        <f>IF(Info!H13&gt;2.5,"Bend moment",IF(Info!H13&gt;1.5,"Biegewiderstands-Moment","Eğilme Karşıkoyma-Mom."))</f>
        <v>Eğilme Karşıkoyma-Mom.</v>
      </c>
      <c r="C68" s="62"/>
      <c r="D68" s="62"/>
      <c r="E68" s="62"/>
      <c r="F68" s="62"/>
      <c r="G68" s="62"/>
      <c r="H68" s="62"/>
      <c r="I68" s="62"/>
      <c r="J68" s="62"/>
      <c r="K68" s="62"/>
      <c r="L68" s="62"/>
      <c r="M68" s="62"/>
      <c r="N68" s="62"/>
      <c r="O68" s="62"/>
      <c r="R68" s="42"/>
      <c r="U68" s="45"/>
      <c r="V68" s="45"/>
      <c r="W68" s="45"/>
      <c r="X68" s="45"/>
      <c r="Y68" s="45"/>
      <c r="Z68" s="45"/>
      <c r="AA68" s="45"/>
      <c r="AB68" s="45"/>
      <c r="AC68" s="45"/>
      <c r="AD68" s="45"/>
      <c r="AE68" s="45"/>
    </row>
    <row r="69" spans="1:31" ht="12" customHeight="1" hidden="1">
      <c r="A69" s="62"/>
      <c r="B69" s="62" t="str">
        <f>IF(Info!$H$13&gt;2.5,"Sheet steel",IF(Info!$H$13&gt;1.5,"Blech","Plaka "))</f>
        <v>Plaka </v>
      </c>
      <c r="C69" s="62"/>
      <c r="D69" s="62"/>
      <c r="E69" s="62"/>
      <c r="F69" s="62"/>
      <c r="G69" s="62"/>
      <c r="H69" s="62"/>
      <c r="I69" s="62"/>
      <c r="J69" s="62"/>
      <c r="K69" s="62"/>
      <c r="L69" s="62"/>
      <c r="M69" s="62"/>
      <c r="N69" s="62"/>
      <c r="O69" s="62"/>
      <c r="R69" s="42"/>
      <c r="U69" s="45"/>
      <c r="V69" s="45"/>
      <c r="W69" s="45"/>
      <c r="X69" s="45"/>
      <c r="Y69" s="45"/>
      <c r="Z69" s="45"/>
      <c r="AA69" s="45"/>
      <c r="AB69" s="45"/>
      <c r="AC69" s="45"/>
      <c r="AD69" s="45"/>
      <c r="AE69" s="45"/>
    </row>
    <row r="70" spans="1:31" ht="12" customHeight="1" hidden="1">
      <c r="A70" s="62"/>
      <c r="B70" s="62" t="str">
        <f>IF(Info!$H$13&gt;2.5,"Bolt",IF(Info!$H$13&gt;1.5,"Bolzen","Perno"))</f>
        <v>Perno</v>
      </c>
      <c r="C70" s="62"/>
      <c r="D70" s="62"/>
      <c r="E70" s="62"/>
      <c r="F70" s="62"/>
      <c r="G70" s="62"/>
      <c r="H70" s="62"/>
      <c r="I70" s="62"/>
      <c r="J70" s="62"/>
      <c r="K70" s="62"/>
      <c r="L70" s="62"/>
      <c r="M70" s="62"/>
      <c r="N70" s="62"/>
      <c r="O70" s="62"/>
      <c r="R70" s="42"/>
      <c r="U70" s="45"/>
      <c r="V70" s="45"/>
      <c r="W70" s="45"/>
      <c r="X70" s="45"/>
      <c r="Y70" s="45"/>
      <c r="Z70" s="45"/>
      <c r="AA70" s="45"/>
      <c r="AB70" s="45"/>
      <c r="AC70" s="45"/>
      <c r="AD70" s="45"/>
      <c r="AE70" s="45"/>
    </row>
    <row r="71" spans="1:31" ht="12" customHeight="1" hidden="1">
      <c r="A71" s="62"/>
      <c r="B71" s="62" t="str">
        <f>IF(Info!H13&gt;2.5,"Breaking strength Rm",IF(Info!H13&gt;1.5,"Bruchfestigkeit Rm","Kopma mukavemeti Rm"))</f>
        <v>Kopma mukavemeti Rm</v>
      </c>
      <c r="C71" s="62"/>
      <c r="D71" s="62"/>
      <c r="E71" s="62"/>
      <c r="F71" s="62"/>
      <c r="G71" s="62"/>
      <c r="H71" s="62"/>
      <c r="I71" s="62"/>
      <c r="J71" s="62"/>
      <c r="K71" s="62"/>
      <c r="L71" s="62"/>
      <c r="M71" s="62"/>
      <c r="N71" s="62"/>
      <c r="O71" s="62"/>
      <c r="R71" s="42"/>
      <c r="U71" s="45"/>
      <c r="V71" s="45"/>
      <c r="W71" s="45"/>
      <c r="X71" s="45"/>
      <c r="Y71" s="45"/>
      <c r="Z71" s="45"/>
      <c r="AA71" s="45"/>
      <c r="AB71" s="45"/>
      <c r="AC71" s="45"/>
      <c r="AD71" s="45"/>
      <c r="AE71" s="45"/>
    </row>
    <row r="72" spans="1:31" ht="12" customHeight="1" hidden="1">
      <c r="A72" s="62"/>
      <c r="B72" s="62" t="str">
        <f>IF(Info!H13&gt;2.5,"Data of the interacting parts",IF(Info!H13&gt;1.5,"Daten der Klemmteile :","Bağlanan parçaların değerleri :"))</f>
        <v>Bağlanan parçaların değerleri :</v>
      </c>
      <c r="C72" s="62"/>
      <c r="D72" s="62"/>
      <c r="E72" s="62"/>
      <c r="F72" s="62"/>
      <c r="G72" s="62"/>
      <c r="H72" s="62"/>
      <c r="I72" s="62"/>
      <c r="J72" s="62"/>
      <c r="K72" s="62"/>
      <c r="L72" s="62"/>
      <c r="M72" s="62"/>
      <c r="N72" s="62"/>
      <c r="O72" s="62"/>
      <c r="R72" s="42"/>
      <c r="U72" s="45"/>
      <c r="V72" s="45"/>
      <c r="W72" s="45"/>
      <c r="X72" s="45"/>
      <c r="Y72" s="45"/>
      <c r="Z72" s="45"/>
      <c r="AA72" s="45"/>
      <c r="AB72" s="45"/>
      <c r="AC72" s="45"/>
      <c r="AD72" s="45"/>
      <c r="AE72" s="45"/>
    </row>
    <row r="73" spans="1:31" ht="12" customHeight="1" hidden="1">
      <c r="A73" s="62"/>
      <c r="B73" s="62" t="str">
        <f>IF(Info!$H$13&gt;2.5,"Data of the screw:",IF(Info!$H$13&gt;1.5,"Daten der Schraube :","Cıvatanın değerleri :"))</f>
        <v>Cıvatanın değerleri :</v>
      </c>
      <c r="C73" s="62"/>
      <c r="D73" s="62"/>
      <c r="E73" s="62"/>
      <c r="F73" s="62"/>
      <c r="G73" s="62"/>
      <c r="H73" s="62"/>
      <c r="I73" s="62"/>
      <c r="J73" s="62"/>
      <c r="K73" s="62"/>
      <c r="L73" s="62"/>
      <c r="M73" s="62"/>
      <c r="N73" s="62"/>
      <c r="O73" s="62"/>
      <c r="R73" s="42"/>
      <c r="U73" s="45"/>
      <c r="V73" s="45"/>
      <c r="W73" s="45"/>
      <c r="X73" s="45"/>
      <c r="Y73" s="45"/>
      <c r="Z73" s="45"/>
      <c r="AA73" s="45"/>
      <c r="AB73" s="45"/>
      <c r="AC73" s="45"/>
      <c r="AD73" s="45"/>
      <c r="AE73" s="45"/>
    </row>
    <row r="74" spans="1:31" ht="12" customHeight="1" hidden="1">
      <c r="A74" s="62"/>
      <c r="B74" s="62" t="str">
        <f>IF(Info!H13&gt;2.5,"Pressure-loaded area",IF(Info!H13&gt;1.5,"Druckfläche","Bası alanı"))</f>
        <v>Bası alanı</v>
      </c>
      <c r="C74" s="62"/>
      <c r="E74" s="62"/>
      <c r="F74" s="62"/>
      <c r="G74" s="62"/>
      <c r="H74" s="62"/>
      <c r="I74" s="62"/>
      <c r="J74" s="62"/>
      <c r="K74" s="62"/>
      <c r="L74" s="62"/>
      <c r="M74" s="62"/>
      <c r="N74" s="62"/>
      <c r="O74" s="62"/>
      <c r="R74" s="42"/>
      <c r="U74" s="45"/>
      <c r="V74" s="45"/>
      <c r="W74" s="45"/>
      <c r="X74" s="45"/>
      <c r="Y74" s="45"/>
      <c r="Z74" s="45"/>
      <c r="AA74" s="45"/>
      <c r="AB74" s="45"/>
      <c r="AC74" s="45"/>
      <c r="AD74" s="45"/>
      <c r="AE74" s="45"/>
    </row>
    <row r="75" spans="1:31" ht="12" customHeight="1" hidden="1">
      <c r="A75" s="62"/>
      <c r="B75" s="62" t="str">
        <f>IF(Info!H13&gt;2.5,"Compressive tension",IF(Info!H13&gt;1.5,"Druckspannung","Basma gerilimi"))</f>
        <v>Basma gerilimi</v>
      </c>
      <c r="C75" s="62"/>
      <c r="E75" s="62"/>
      <c r="F75" s="62"/>
      <c r="G75" s="62"/>
      <c r="H75" s="62"/>
      <c r="I75" s="62"/>
      <c r="J75" s="62"/>
      <c r="K75" s="62"/>
      <c r="L75" s="62"/>
      <c r="M75" s="62"/>
      <c r="N75" s="62"/>
      <c r="O75" s="62"/>
      <c r="R75" s="42"/>
      <c r="U75" s="45"/>
      <c r="V75" s="45"/>
      <c r="W75" s="45"/>
      <c r="X75" s="45"/>
      <c r="Y75" s="45"/>
      <c r="Z75" s="45"/>
      <c r="AA75" s="45"/>
      <c r="AB75" s="45"/>
      <c r="AC75" s="45"/>
      <c r="AD75" s="45"/>
      <c r="AE75" s="45"/>
    </row>
    <row r="76" spans="1:31" ht="12" customHeight="1" hidden="1">
      <c r="A76" s="62"/>
      <c r="B76" s="62" t="str">
        <f>IF(Info!H13&gt;2.5,"Hole diameter ",IF(Info!H13&gt;1.5,"Durchgangsloch","Geçiş deliği çapı"))</f>
        <v>Geçiş deliği çapı</v>
      </c>
      <c r="C76" s="62"/>
      <c r="E76" s="62"/>
      <c r="F76" s="62"/>
      <c r="G76" s="62"/>
      <c r="H76" s="62"/>
      <c r="I76" s="62"/>
      <c r="J76" s="62"/>
      <c r="K76" s="62"/>
      <c r="L76" s="62"/>
      <c r="M76" s="62"/>
      <c r="N76" s="62"/>
      <c r="O76" s="62"/>
      <c r="R76" s="42"/>
      <c r="U76" s="45"/>
      <c r="V76" s="45"/>
      <c r="W76" s="45"/>
      <c r="X76" s="45"/>
      <c r="Y76" s="45"/>
      <c r="Z76" s="45"/>
      <c r="AA76" s="45"/>
      <c r="AB76" s="45"/>
      <c r="AC76" s="45"/>
      <c r="AD76" s="45"/>
      <c r="AE76" s="45"/>
    </row>
    <row r="77" spans="1:31" ht="12" customHeight="1" hidden="1">
      <c r="A77" s="62"/>
      <c r="B77" s="62" t="str">
        <f>IF(Info!$H$13&gt;2.5,"Diameter selection",IF(Info!$H$13&gt;1.5,"Durchmesserauswahl","Çap seçimi"))</f>
        <v>Çap seçimi</v>
      </c>
      <c r="C77" s="62"/>
      <c r="E77" s="62"/>
      <c r="F77" s="62"/>
      <c r="G77" s="62"/>
      <c r="H77" s="62"/>
      <c r="I77" s="62"/>
      <c r="J77" s="62"/>
      <c r="K77" s="62"/>
      <c r="L77" s="62"/>
      <c r="M77" s="62"/>
      <c r="N77" s="62"/>
      <c r="O77" s="62"/>
      <c r="R77" s="42"/>
      <c r="U77" s="45"/>
      <c r="V77" s="45"/>
      <c r="W77" s="45"/>
      <c r="X77" s="45"/>
      <c r="Y77" s="45"/>
      <c r="Z77" s="45"/>
      <c r="AA77" s="45"/>
      <c r="AB77" s="45"/>
      <c r="AC77" s="45"/>
      <c r="AD77" s="45"/>
      <c r="AE77" s="45"/>
    </row>
    <row r="78" spans="1:31" ht="12" customHeight="1" hidden="1">
      <c r="A78" s="62"/>
      <c r="B78" s="62" t="str">
        <f>IF(Info!$H$13&gt;2.5,"enter.",IF(Info!$H$13&gt;1.5,"eingeben. ","değeri alınır."))</f>
        <v>değeri alınır.</v>
      </c>
      <c r="C78" s="62"/>
      <c r="E78" s="62"/>
      <c r="F78" s="62"/>
      <c r="G78" s="62"/>
      <c r="H78" s="62"/>
      <c r="I78" s="62"/>
      <c r="J78" s="62"/>
      <c r="K78" s="62"/>
      <c r="L78" s="62"/>
      <c r="M78" s="62"/>
      <c r="N78" s="62"/>
      <c r="O78" s="62"/>
      <c r="U78" s="45"/>
      <c r="V78" s="45"/>
      <c r="W78" s="45"/>
      <c r="X78" s="45"/>
      <c r="Y78" s="45"/>
      <c r="Z78" s="45"/>
      <c r="AA78" s="45"/>
      <c r="AB78" s="45"/>
      <c r="AC78" s="45"/>
      <c r="AD78" s="45"/>
      <c r="AE78" s="45"/>
    </row>
    <row r="79" spans="1:31" ht="12" customHeight="1" hidden="1">
      <c r="A79" s="62"/>
      <c r="B79" s="62" t="str">
        <f>IF(Info!H13&gt;2.5,"Screwed in flank number; if confessed",IF(Info!H13&gt;1.5,"Eingeschraubten Flankenanzahl; wenn bekannt","Taşıyıcı diş sayısı; biliniyorsa"))</f>
        <v>Taşıyıcı diş sayısı; biliniyorsa</v>
      </c>
      <c r="C79" s="62"/>
      <c r="E79" s="62"/>
      <c r="F79" s="62"/>
      <c r="G79" s="62"/>
      <c r="H79" s="62"/>
      <c r="I79" s="62"/>
      <c r="J79" s="62"/>
      <c r="K79" s="62"/>
      <c r="L79" s="62"/>
      <c r="M79" s="62"/>
      <c r="N79" s="62"/>
      <c r="O79" s="62"/>
      <c r="U79" s="45"/>
      <c r="V79" s="45"/>
      <c r="W79" s="45"/>
      <c r="X79" s="45"/>
      <c r="Y79" s="45"/>
      <c r="Z79" s="45"/>
      <c r="AA79" s="45"/>
      <c r="AB79" s="45"/>
      <c r="AC79" s="45"/>
      <c r="AD79" s="45"/>
      <c r="AE79" s="45"/>
    </row>
    <row r="80" spans="1:31" ht="12" customHeight="1" hidden="1">
      <c r="A80" s="62"/>
      <c r="B80" s="62" t="str">
        <f>IF(Info!H13&gt;2.5,"Young’s modulus Edyn",IF(Info!H13&gt;1.5,"Elastizitätsmodul Edyn","elastiklik modülü Edin"))</f>
        <v>elastiklik modülü Edin</v>
      </c>
      <c r="C80" s="62"/>
      <c r="D80" s="62"/>
      <c r="E80" s="62"/>
      <c r="F80"/>
      <c r="G80"/>
      <c r="H80"/>
      <c r="I80"/>
      <c r="J80" s="62"/>
      <c r="K80" s="62"/>
      <c r="L80" s="62"/>
      <c r="M80" s="62"/>
      <c r="N80" s="62"/>
      <c r="O80" s="62"/>
      <c r="U80" s="45"/>
      <c r="V80" s="45"/>
      <c r="W80" s="45"/>
      <c r="X80" s="45"/>
      <c r="Y80" s="45"/>
      <c r="Z80" s="45"/>
      <c r="AA80" s="45"/>
      <c r="AB80" s="45"/>
      <c r="AC80" s="45"/>
      <c r="AD80" s="45"/>
      <c r="AE80" s="45"/>
    </row>
    <row r="81" spans="1:31" ht="12" customHeight="1" hidden="1">
      <c r="A81" s="62"/>
      <c r="B81" s="62" t="str">
        <f>IF(Info!H13&gt;2.5,"Load relieving of parts",IF(Info!H13&gt;1.5,"Entlastungskraft der Teile","Plakalarca alınan kuvvet"))</f>
        <v>Plakalarca alınan kuvvet</v>
      </c>
      <c r="C81" s="62"/>
      <c r="D81" s="62"/>
      <c r="E81" s="62"/>
      <c r="F81"/>
      <c r="G81"/>
      <c r="H81"/>
      <c r="I81"/>
      <c r="J81" s="62"/>
      <c r="K81" s="62"/>
      <c r="L81" s="62"/>
      <c r="M81" s="62"/>
      <c r="N81" s="62"/>
      <c r="O81" s="62"/>
      <c r="U81" s="45"/>
      <c r="V81" s="45"/>
      <c r="W81" s="45"/>
      <c r="X81" s="45"/>
      <c r="Y81" s="45"/>
      <c r="Z81" s="45"/>
      <c r="AA81" s="45"/>
      <c r="AB81" s="45"/>
      <c r="AC81" s="45"/>
      <c r="AD81" s="45"/>
      <c r="AE81" s="45"/>
    </row>
    <row r="82" spans="1:31" ht="12" customHeight="1" hidden="1">
      <c r="A82" s="62"/>
      <c r="B82" s="64" t="str">
        <f>IF(Info!H13&gt;2.5,"Equivalent cylinder",IF(Info!H13&gt;1.5,"Equivalent Zylinder","Eşdeğer alan"))</f>
        <v>Eşdeğer alan</v>
      </c>
      <c r="C82" s="62"/>
      <c r="E82" s="62"/>
      <c r="F82"/>
      <c r="G82"/>
      <c r="H82"/>
      <c r="I82"/>
      <c r="J82" s="62"/>
      <c r="K82" s="62"/>
      <c r="L82" s="62"/>
      <c r="M82" s="62"/>
      <c r="N82" s="62"/>
      <c r="O82" s="62"/>
      <c r="U82" s="45"/>
      <c r="V82" s="45"/>
      <c r="W82" s="45"/>
      <c r="X82" s="45"/>
      <c r="Y82" s="45"/>
      <c r="Z82" s="45"/>
      <c r="AA82" s="45"/>
      <c r="AB82" s="45"/>
      <c r="AC82" s="45"/>
      <c r="AD82" s="45"/>
      <c r="AE82" s="45"/>
    </row>
    <row r="83" spans="1:31" ht="12" customHeight="1" hidden="1">
      <c r="A83" s="62"/>
      <c r="B83" s="64" t="str">
        <f>IF(Info!H13&gt;2.5,"Required clamping force",IF(Info!H13&gt;1.5,"Erforderliche Klemmkraft","Gerekli Sıkma kuvveti"))</f>
        <v>Gerekli Sıkma kuvveti</v>
      </c>
      <c r="C83" s="62"/>
      <c r="E83" s="62"/>
      <c r="F83"/>
      <c r="G83"/>
      <c r="H83"/>
      <c r="I83"/>
      <c r="J83" s="62"/>
      <c r="K83" s="62"/>
      <c r="L83" s="62"/>
      <c r="M83" s="62"/>
      <c r="N83" s="62"/>
      <c r="O83" s="62"/>
      <c r="U83" s="45"/>
      <c r="V83" s="45"/>
      <c r="W83" s="45"/>
      <c r="X83" s="45"/>
      <c r="Y83" s="45"/>
      <c r="Z83" s="45"/>
      <c r="AA83" s="45"/>
      <c r="AB83" s="45"/>
      <c r="AC83" s="45"/>
      <c r="AD83" s="45"/>
      <c r="AE83" s="45"/>
    </row>
    <row r="84" spans="1:31" ht="12" customHeight="1" hidden="1">
      <c r="A84" s="62"/>
      <c r="B84" s="64" t="str">
        <f>IF(Info!H13&gt;2.5,"Required pre-tension",IF(Info!H13&gt;1.5,"Erforderliche Vorspannkraft","Gerekli ön gerilim kuvveti"))</f>
        <v>Gerekli ön gerilim kuvveti</v>
      </c>
      <c r="C84" s="62"/>
      <c r="E84" s="62"/>
      <c r="F84"/>
      <c r="G84"/>
      <c r="H84"/>
      <c r="I84"/>
      <c r="J84" s="62"/>
      <c r="K84" s="62"/>
      <c r="L84" s="62"/>
      <c r="M84" s="62"/>
      <c r="N84" s="62"/>
      <c r="O84" s="62"/>
      <c r="U84" s="45"/>
      <c r="V84" s="45"/>
      <c r="W84" s="45"/>
      <c r="X84" s="45"/>
      <c r="Y84" s="45"/>
      <c r="Z84" s="45"/>
      <c r="AA84" s="45"/>
      <c r="AB84" s="45"/>
      <c r="AC84" s="45"/>
      <c r="AD84" s="45"/>
      <c r="AE84" s="45"/>
    </row>
    <row r="85" spans="1:31" ht="12" customHeight="1" hidden="1">
      <c r="A85" s="62"/>
      <c r="B85" s="62" t="str">
        <f>IF(Info!H13&gt;2.5,"Required cross sectional area of the screw",IF(Info!H13&gt;1.5,"Erforderliche Querschnitt der Schraube","Gerekli Cıvata gerilim kesit alanı"))</f>
        <v>Gerekli Cıvata gerilim kesit alanı</v>
      </c>
      <c r="C85" s="62"/>
      <c r="D85" s="62"/>
      <c r="E85" s="62"/>
      <c r="G85"/>
      <c r="H85"/>
      <c r="I85"/>
      <c r="J85" s="62"/>
      <c r="K85" s="62"/>
      <c r="L85" s="62"/>
      <c r="M85" s="62"/>
      <c r="N85" s="62"/>
      <c r="O85" s="62"/>
      <c r="U85" s="45"/>
      <c r="V85" s="45"/>
      <c r="W85" s="45"/>
      <c r="X85" s="45"/>
      <c r="Y85" s="45"/>
      <c r="Z85" s="45"/>
      <c r="AA85" s="45"/>
      <c r="AB85" s="45"/>
      <c r="AC85" s="45"/>
      <c r="AD85" s="45"/>
      <c r="AE85" s="45"/>
    </row>
    <row r="86" spans="1:31" ht="12" customHeight="1" hidden="1">
      <c r="A86" s="62"/>
      <c r="B86" s="62" t="str">
        <f>IF(Info!H13&gt;2.5,"Results",IF(Info!H13&gt;1.5,"Ergebnisse","Sonuçlar"))</f>
        <v>Sonuçlar</v>
      </c>
      <c r="C86" s="62"/>
      <c r="D86" s="62"/>
      <c r="E86" s="62"/>
      <c r="F86"/>
      <c r="G86"/>
      <c r="H86"/>
      <c r="I86"/>
      <c r="J86" s="62"/>
      <c r="K86" s="62"/>
      <c r="L86" s="62"/>
      <c r="M86" s="62"/>
      <c r="N86" s="62"/>
      <c r="O86" s="62"/>
      <c r="U86" s="45"/>
      <c r="V86" s="45"/>
      <c r="W86" s="45"/>
      <c r="X86" s="45"/>
      <c r="Y86" s="45"/>
      <c r="Z86" s="45"/>
      <c r="AA86" s="45"/>
      <c r="AB86" s="45"/>
      <c r="AC86" s="45"/>
      <c r="AD86" s="45"/>
      <c r="AE86" s="45"/>
    </row>
    <row r="87" spans="1:31" ht="12" customHeight="1" hidden="1">
      <c r="A87" s="62"/>
      <c r="B87" s="62" t="str">
        <f>IF(Info!H13&gt;2.5,"Results Operating:",IF(Info!H13&gt;1.5,"Ergebnisse-Betrieb :","İşletmedeki değerler :"))</f>
        <v>İşletmedeki değerler :</v>
      </c>
      <c r="C87" s="62"/>
      <c r="D87" s="62"/>
      <c r="E87" s="62"/>
      <c r="F87"/>
      <c r="G87"/>
      <c r="H87"/>
      <c r="I87"/>
      <c r="J87" s="62"/>
      <c r="K87" s="62"/>
      <c r="L87" s="62"/>
      <c r="M87" s="62"/>
      <c r="N87" s="62"/>
      <c r="O87" s="62"/>
      <c r="U87" s="45"/>
      <c r="V87" s="45"/>
      <c r="W87" s="45"/>
      <c r="X87" s="45"/>
      <c r="Y87" s="45"/>
      <c r="Z87" s="45"/>
      <c r="AA87" s="45"/>
      <c r="AB87" s="45"/>
      <c r="AC87" s="45"/>
      <c r="AD87" s="45"/>
      <c r="AE87" s="45"/>
    </row>
    <row r="88" spans="1:31" ht="12" customHeight="1" hidden="1">
      <c r="A88" s="62"/>
      <c r="B88" s="62" t="str">
        <f>IF(Info!H13&gt;2.5,"Results Assembly:",IF(Info!H13&gt;1.5,"Ergebnisse-Montage :","Montajdaki değerler :"))</f>
        <v>Montajdaki değerler :</v>
      </c>
      <c r="C88" s="62"/>
      <c r="D88" s="62"/>
      <c r="F88"/>
      <c r="G88"/>
      <c r="H88"/>
      <c r="I88"/>
      <c r="J88" s="62"/>
      <c r="K88" s="62"/>
      <c r="L88" s="62"/>
      <c r="M88" s="62"/>
      <c r="N88" s="62"/>
      <c r="O88" s="62"/>
      <c r="U88" s="45"/>
      <c r="V88" s="45"/>
      <c r="W88" s="45"/>
      <c r="X88" s="45"/>
      <c r="Y88" s="45"/>
      <c r="Z88" s="45"/>
      <c r="AA88" s="45"/>
      <c r="AB88" s="45"/>
      <c r="AC88" s="45"/>
      <c r="AD88" s="45"/>
      <c r="AE88" s="45"/>
    </row>
    <row r="89" spans="1:31" ht="12" customHeight="1" hidden="1">
      <c r="A89" s="62"/>
      <c r="B89" s="62" t="str">
        <f>IF(Info!H13&gt;2.5,"Necessary safety",IF(Info!H13&gt;1.5,"Erwünschte Sicherheit","İstenilen Emniyet"))</f>
        <v>İstenilen Emniyet</v>
      </c>
      <c r="C89" s="62"/>
      <c r="D89" s="62"/>
      <c r="F89"/>
      <c r="G89"/>
      <c r="H89"/>
      <c r="I89"/>
      <c r="J89" s="62"/>
      <c r="K89" s="62"/>
      <c r="L89" s="62"/>
      <c r="M89" s="62"/>
      <c r="N89" s="62"/>
      <c r="O89" s="62"/>
      <c r="U89" s="45"/>
      <c r="V89" s="45"/>
      <c r="W89" s="45"/>
      <c r="X89" s="45"/>
      <c r="Y89" s="45"/>
      <c r="Z89" s="45"/>
      <c r="AA89" s="45"/>
      <c r="AB89" s="45"/>
      <c r="AC89" s="45"/>
      <c r="AD89" s="45"/>
      <c r="AE89" s="45"/>
    </row>
    <row r="90" spans="1:31" ht="12" customHeight="1" hidden="1">
      <c r="A90" s="62"/>
      <c r="B90" s="62" t="str">
        <f>IF(Info!H13&gt;2.5,"Eccentric load",IF(Info!H13&gt;1.5,"Exzentrische Belastung","Eksen dişı kuvvet etkisinde"))</f>
        <v>Eksen dişı kuvvet etkisinde</v>
      </c>
      <c r="C90" s="62"/>
      <c r="D90" s="62"/>
      <c r="F90"/>
      <c r="G90"/>
      <c r="H90"/>
      <c r="I90"/>
      <c r="J90" s="62"/>
      <c r="K90" s="62"/>
      <c r="L90" s="62"/>
      <c r="M90" s="62"/>
      <c r="N90" s="62"/>
      <c r="O90" s="62"/>
      <c r="U90" s="45"/>
      <c r="V90" s="45"/>
      <c r="W90" s="45"/>
      <c r="X90" s="45"/>
      <c r="Y90" s="45"/>
      <c r="Z90" s="45"/>
      <c r="AA90" s="45"/>
      <c r="AB90" s="45"/>
      <c r="AC90" s="45"/>
      <c r="AD90" s="45"/>
      <c r="AE90" s="45"/>
    </row>
    <row r="91" spans="1:31" ht="12" customHeight="1" hidden="1">
      <c r="A91" s="62"/>
      <c r="B91" s="62" t="str">
        <f>IF(Info!H13&gt;2.5,"Factor",IF(Info!H13&gt;1.5,"Faktor","Faktör"))</f>
        <v>Faktör</v>
      </c>
      <c r="C91" s="62"/>
      <c r="D91" s="62"/>
      <c r="F91"/>
      <c r="G91"/>
      <c r="H91"/>
      <c r="I91"/>
      <c r="J91" s="62"/>
      <c r="K91" s="62"/>
      <c r="L91" s="62"/>
      <c r="M91" s="62"/>
      <c r="N91" s="62"/>
      <c r="O91" s="62"/>
      <c r="U91" s="45"/>
      <c r="V91" s="45"/>
      <c r="W91" s="45"/>
      <c r="X91" s="45"/>
      <c r="Y91" s="45"/>
      <c r="Z91" s="45"/>
      <c r="AA91" s="45"/>
      <c r="AB91" s="45"/>
      <c r="AC91" s="45"/>
      <c r="AD91" s="45"/>
      <c r="AE91" s="45"/>
    </row>
    <row r="92" spans="1:31" ht="12" customHeight="1" hidden="1">
      <c r="A92" s="62"/>
      <c r="B92" s="62" t="str">
        <f>IF(Info!H13&gt;2.5,"Factor k for bending stress",IF(Info!H13&gt;1.5,"Faktor k für Biegebeanspruchung","Enine kayma varsa, faktor  k"))</f>
        <v>Enine kayma varsa, faktor  k</v>
      </c>
      <c r="C92" s="62"/>
      <c r="D92" s="62"/>
      <c r="F92" s="62"/>
      <c r="G92" s="62"/>
      <c r="H92" s="62"/>
      <c r="I92" s="62"/>
      <c r="J92" s="62"/>
      <c r="K92" s="62"/>
      <c r="L92" s="62"/>
      <c r="M92" s="62"/>
      <c r="N92" s="62"/>
      <c r="O92" s="62"/>
      <c r="U92" s="29"/>
      <c r="V92" s="29"/>
      <c r="W92" s="29"/>
      <c r="X92" s="29"/>
      <c r="Y92" s="29"/>
      <c r="Z92" s="29"/>
      <c r="AA92" s="29"/>
      <c r="AB92" s="29"/>
      <c r="AC92" s="29"/>
      <c r="AD92" s="29"/>
      <c r="AE92" s="29"/>
    </row>
    <row r="93" spans="1:31" ht="12" customHeight="1" hidden="1">
      <c r="A93" s="62"/>
      <c r="B93" s="62" t="str">
        <f>IF(Info!$H$13&gt;2.5,"Firmness values",IF(Info!$H$13&gt;1.5,"Festigkeitswerte","Emniyetli mukavemet değerleri"))</f>
        <v>Emniyetli mukavemet değerleri</v>
      </c>
      <c r="C93" s="62"/>
      <c r="D93" s="62"/>
      <c r="F93" s="62"/>
      <c r="G93" s="62"/>
      <c r="H93" s="62"/>
      <c r="I93" s="62"/>
      <c r="J93" s="62"/>
      <c r="K93" s="62"/>
      <c r="L93" s="62"/>
      <c r="M93" s="62"/>
      <c r="N93" s="62"/>
      <c r="O93" s="62"/>
      <c r="U93" s="29"/>
      <c r="V93" s="29"/>
      <c r="W93" s="29"/>
      <c r="X93" s="29"/>
      <c r="Y93" s="29"/>
      <c r="Z93" s="29"/>
      <c r="AA93" s="29"/>
      <c r="AB93" s="29"/>
      <c r="AC93" s="29"/>
      <c r="AD93" s="29"/>
      <c r="AE93" s="29"/>
    </row>
    <row r="94" spans="1:31" ht="12" customHeight="1" hidden="1">
      <c r="A94" s="62"/>
      <c r="B94" s="62" t="str">
        <f>IF(Info!$H$13&gt;2.5,"Thread pitch diameter",IF(Info!$H$13&gt;1.5,"Flankendurchmesser","Bölüm dairesi çapı"))</f>
        <v>Bölüm dairesi çapı</v>
      </c>
      <c r="C94" s="62"/>
      <c r="D94" s="62"/>
      <c r="E94" s="62"/>
      <c r="F94" s="62"/>
      <c r="G94" s="62"/>
      <c r="H94" s="62"/>
      <c r="I94" s="62"/>
      <c r="J94" s="62"/>
      <c r="K94" s="62"/>
      <c r="L94" s="62"/>
      <c r="M94" s="62"/>
      <c r="N94" s="62"/>
      <c r="O94" s="62"/>
      <c r="U94" s="29"/>
      <c r="V94" s="29"/>
      <c r="W94" s="29"/>
      <c r="X94" s="29"/>
      <c r="Y94" s="29"/>
      <c r="Z94" s="29"/>
      <c r="AA94" s="29"/>
      <c r="AB94" s="29"/>
      <c r="AC94" s="29"/>
      <c r="AD94" s="29"/>
      <c r="AE94" s="29"/>
    </row>
    <row r="95" spans="1:31" ht="12" customHeight="1" hidden="1">
      <c r="A95" s="62"/>
      <c r="B95" s="62" t="str">
        <f>IF(Info!H13&gt;2.5,"Flank height",IF(Info!H13&gt;1.5,"Flankenhöhe","Vida yükseklik"))</f>
        <v>Vida yükseklik</v>
      </c>
      <c r="C95" s="62"/>
      <c r="D95" s="62"/>
      <c r="E95" s="62"/>
      <c r="F95" s="62"/>
      <c r="G95" s="62"/>
      <c r="H95" s="62"/>
      <c r="I95" s="62"/>
      <c r="J95" s="62"/>
      <c r="K95" s="62"/>
      <c r="L95" s="62"/>
      <c r="M95" s="62"/>
      <c r="N95" s="62"/>
      <c r="O95" s="62"/>
      <c r="U95" s="29"/>
      <c r="V95" s="29"/>
      <c r="W95" s="29"/>
      <c r="X95" s="29"/>
      <c r="Y95" s="29"/>
      <c r="Z95" s="29"/>
      <c r="AA95" s="29"/>
      <c r="AB95" s="29"/>
      <c r="AC95" s="29"/>
      <c r="AD95" s="29"/>
      <c r="AE95" s="29"/>
    </row>
    <row r="96" spans="1:31" ht="12" customHeight="1" hidden="1">
      <c r="A96" s="62"/>
      <c r="B96" s="62" t="str">
        <f>IF(Info!$H$13&gt;2.5,"Flank normal force",IF(Info!$H$13&gt;1.5,"Flanken-Normalkraft","Yanaklardaki normal kuvvet"))</f>
        <v>Yanaklardaki normal kuvvet</v>
      </c>
      <c r="C96" s="62"/>
      <c r="D96" s="62"/>
      <c r="E96" s="62"/>
      <c r="F96" s="62"/>
      <c r="G96" s="62"/>
      <c r="H96" s="62"/>
      <c r="I96" s="62"/>
      <c r="J96" s="62"/>
      <c r="K96" s="62"/>
      <c r="L96" s="62"/>
      <c r="M96" s="62"/>
      <c r="N96" s="62"/>
      <c r="O96" s="62"/>
      <c r="U96" s="29"/>
      <c r="V96" s="29"/>
      <c r="W96" s="29"/>
      <c r="X96" s="29"/>
      <c r="Y96" s="29"/>
      <c r="Z96" s="29"/>
      <c r="AA96" s="29"/>
      <c r="AB96" s="29"/>
      <c r="AC96" s="29"/>
      <c r="AD96" s="29"/>
      <c r="AE96" s="29"/>
    </row>
    <row r="97" spans="1:31" ht="12" customHeight="1" hidden="1">
      <c r="A97" s="62"/>
      <c r="B97" s="62" t="str">
        <f>IF(Info!$H$13&gt;2.5,"Flank covering",IF(Info!$H$13&gt;1.5,"Flankenüberdeckung","Temas boyu"))</f>
        <v>Temas boyu</v>
      </c>
      <c r="C97" s="62"/>
      <c r="D97" s="62"/>
      <c r="E97" s="62"/>
      <c r="F97" s="62"/>
      <c r="G97" s="62"/>
      <c r="H97" s="62"/>
      <c r="I97" s="62"/>
      <c r="J97" s="62"/>
      <c r="K97" s="62"/>
      <c r="L97" s="62"/>
      <c r="M97" s="62"/>
      <c r="N97" s="62"/>
      <c r="O97" s="62"/>
      <c r="U97" s="29"/>
      <c r="V97" s="29"/>
      <c r="W97" s="29"/>
      <c r="X97" s="29"/>
      <c r="Y97" s="29"/>
      <c r="Z97" s="29"/>
      <c r="AA97" s="29"/>
      <c r="AB97" s="29"/>
      <c r="AC97" s="29"/>
      <c r="AD97" s="29"/>
      <c r="AE97" s="29"/>
    </row>
    <row r="98" spans="1:31" ht="12" customHeight="1" hidden="1">
      <c r="A98" s="62"/>
      <c r="B98" s="62" t="str">
        <f>IF(Info!H13&gt;2.5,"Surface pressure",IF(Info!H13&gt;1.5,"Flankenpressung","Yanaklarda bası gerilimi"))</f>
        <v>Yanaklarda bası gerilimi</v>
      </c>
      <c r="C98" s="62"/>
      <c r="D98" s="62"/>
      <c r="E98" s="62"/>
      <c r="F98" s="62"/>
      <c r="G98" s="62"/>
      <c r="H98" s="62"/>
      <c r="I98" s="62"/>
      <c r="J98" s="62"/>
      <c r="K98" s="62"/>
      <c r="L98" s="62"/>
      <c r="M98" s="62"/>
      <c r="N98" s="62"/>
      <c r="O98" s="62"/>
      <c r="U98" s="29"/>
      <c r="V98" s="29"/>
      <c r="W98" s="29"/>
      <c r="X98" s="29"/>
      <c r="Y98" s="29"/>
      <c r="Z98" s="29"/>
      <c r="AA98" s="29"/>
      <c r="AB98" s="29"/>
      <c r="AC98" s="29"/>
      <c r="AD98" s="29"/>
      <c r="AE98" s="29"/>
    </row>
    <row r="99" spans="1:31" ht="12" customHeight="1" hidden="1">
      <c r="A99" s="62"/>
      <c r="B99" s="62" t="str">
        <f>IF(Info!H13&gt;2.5,"Angle of the thread",IF(Info!H13&gt;1.5,"Flankenwinkel","Uç açısı"))</f>
        <v>Uç açısı</v>
      </c>
      <c r="C99" s="62"/>
      <c r="D99" s="62"/>
      <c r="E99" s="62"/>
      <c r="F99" s="62"/>
      <c r="G99" s="62"/>
      <c r="H99" s="62"/>
      <c r="I99" s="62"/>
      <c r="J99" s="62"/>
      <c r="K99" s="62"/>
      <c r="L99" s="62"/>
      <c r="M99" s="62"/>
      <c r="N99" s="62"/>
      <c r="O99" s="62"/>
      <c r="U99" s="29"/>
      <c r="V99" s="29"/>
      <c r="W99" s="29"/>
      <c r="X99" s="29"/>
      <c r="Y99" s="29"/>
      <c r="Z99" s="29"/>
      <c r="AA99" s="29"/>
      <c r="AB99" s="29"/>
      <c r="AC99" s="29"/>
      <c r="AD99" s="29"/>
      <c r="AE99" s="29"/>
    </row>
    <row r="100" spans="1:31" ht="12" customHeight="1" hidden="1">
      <c r="A100" s="62"/>
      <c r="B100" s="62" t="str">
        <f>IF(Info!H13&gt;2.5,"Seating stress ",IF(Info!H13&gt;1.5,"Flächenpressung","Yüzey basıncı"))</f>
        <v>Yüzey basıncı</v>
      </c>
      <c r="C100" s="62"/>
      <c r="D100" s="62"/>
      <c r="E100" s="62"/>
      <c r="F100" s="62"/>
      <c r="G100" s="62"/>
      <c r="H100" s="62"/>
      <c r="I100" s="62"/>
      <c r="J100" s="62"/>
      <c r="K100" s="62"/>
      <c r="L100" s="62"/>
      <c r="M100" s="62"/>
      <c r="N100" s="62"/>
      <c r="O100" s="62"/>
      <c r="U100" s="29"/>
      <c r="V100" s="29"/>
      <c r="W100" s="29"/>
      <c r="X100" s="29"/>
      <c r="Y100" s="29"/>
      <c r="Z100" s="29"/>
      <c r="AA100" s="29"/>
      <c r="AB100" s="29"/>
      <c r="AC100" s="29"/>
      <c r="AD100" s="29"/>
      <c r="AE100" s="29"/>
    </row>
    <row r="101" spans="1:31" ht="12" customHeight="1" hidden="1">
      <c r="A101" s="62"/>
      <c r="B101" s="62" t="str">
        <f>IF(Info!H13&gt;2.5,"Surface pressure during the assembly ",IF(Info!H13&gt;1.5,"Flächenpressung bei der Montage","Montajda temas yüzeyi bası gerilimi"))</f>
        <v>Montajda temas yüzeyi bası gerilimi</v>
      </c>
      <c r="C101" s="62"/>
      <c r="D101" s="62"/>
      <c r="F101" s="62"/>
      <c r="G101" s="62"/>
      <c r="H101" s="62"/>
      <c r="I101" s="62"/>
      <c r="J101" s="62"/>
      <c r="K101" s="62"/>
      <c r="L101" s="62"/>
      <c r="M101" s="62"/>
      <c r="N101" s="62"/>
      <c r="O101" s="62"/>
      <c r="U101" s="29"/>
      <c r="V101" s="29"/>
      <c r="W101" s="29"/>
      <c r="X101" s="29"/>
      <c r="Y101" s="29"/>
      <c r="Z101" s="29"/>
      <c r="AA101" s="29"/>
      <c r="AB101" s="29"/>
      <c r="AC101" s="29"/>
      <c r="AD101" s="29"/>
      <c r="AE101" s="29"/>
    </row>
    <row r="102" spans="1:31" ht="12" customHeight="1" hidden="1">
      <c r="A102" s="62"/>
      <c r="B102" s="62" t="str">
        <f>IF(Info!H13&gt;2.5,"Surface pressure during operating  ",IF(Info!H13&gt;1.5,"Flächenpressung im Betrieb","İşletmede temas yüzeyi bası gerilimi"))</f>
        <v>İşletmede temas yüzeyi bası gerilimi</v>
      </c>
      <c r="C102" s="62"/>
      <c r="D102" s="62"/>
      <c r="E102" s="62"/>
      <c r="F102" s="62"/>
      <c r="G102" s="62"/>
      <c r="H102" s="62"/>
      <c r="I102" s="62"/>
      <c r="J102" s="62"/>
      <c r="K102" s="62"/>
      <c r="L102" s="62"/>
      <c r="M102" s="62"/>
      <c r="N102" s="62"/>
      <c r="O102" s="62"/>
      <c r="U102" s="29"/>
      <c r="V102" s="29"/>
      <c r="W102" s="29"/>
      <c r="X102" s="29"/>
      <c r="Y102" s="29"/>
      <c r="Z102" s="29"/>
      <c r="AA102" s="29"/>
      <c r="AB102" s="29"/>
      <c r="AC102" s="29"/>
      <c r="AD102" s="29"/>
      <c r="AE102" s="29"/>
    </row>
    <row r="103" spans="1:31" ht="12" customHeight="1" hidden="1">
      <c r="A103" s="62"/>
      <c r="B103" s="62" t="str">
        <f>IF(Info!$H$13&gt;2.5,"Face of d2",IF(Info!$H$13&gt;1.5,"Fläche von d2","d2 alanı"))</f>
        <v>d2 alanı</v>
      </c>
      <c r="C103" s="62"/>
      <c r="D103" s="62"/>
      <c r="E103" s="62"/>
      <c r="F103" s="62"/>
      <c r="G103" s="62"/>
      <c r="H103" s="62"/>
      <c r="I103" s="62"/>
      <c r="J103" s="62"/>
      <c r="K103" s="62"/>
      <c r="L103" s="62"/>
      <c r="M103" s="62"/>
      <c r="N103" s="62"/>
      <c r="O103" s="62"/>
      <c r="U103" s="29"/>
      <c r="V103" s="29"/>
      <c r="W103" s="29"/>
      <c r="X103" s="29"/>
      <c r="Y103" s="29"/>
      <c r="Z103" s="29"/>
      <c r="AA103" s="29"/>
      <c r="AB103" s="29"/>
      <c r="AC103" s="29"/>
      <c r="AD103" s="29"/>
      <c r="AE103" s="29"/>
    </row>
    <row r="104" spans="1:31" ht="12" customHeight="1" hidden="1">
      <c r="A104" s="62"/>
      <c r="B104" s="62" t="str">
        <f>IF(Info!$H$13&gt;2.5,"Geometry",IF(Info!$H$13&gt;1.5,"Geometrie","Geometri"))</f>
        <v>Geometri</v>
      </c>
      <c r="C104" s="62"/>
      <c r="D104" s="62"/>
      <c r="E104" s="62"/>
      <c r="F104" s="62"/>
      <c r="G104" s="62"/>
      <c r="H104" s="62"/>
      <c r="I104" s="62"/>
      <c r="J104" s="62"/>
      <c r="K104" s="62"/>
      <c r="L104" s="62"/>
      <c r="M104" s="62"/>
      <c r="N104" s="62"/>
      <c r="O104" s="62"/>
      <c r="U104" s="29"/>
      <c r="V104" s="29"/>
      <c r="W104" s="29"/>
      <c r="X104" s="29"/>
      <c r="Y104" s="29"/>
      <c r="Z104" s="29"/>
      <c r="AA104" s="29"/>
      <c r="AB104" s="29"/>
      <c r="AC104" s="29"/>
      <c r="AD104" s="29"/>
      <c r="AE104" s="29"/>
    </row>
    <row r="105" spans="1:31" ht="12" customHeight="1" hidden="1">
      <c r="A105" s="62"/>
      <c r="B105" s="62" t="str">
        <f>IF(Info!H13&gt;2.5,"All operating force",IF(Info!H13&gt;1.5,"Gesamt-Betriebskraft","Toplam enine kuvvet"))</f>
        <v>Toplam enine kuvvet</v>
      </c>
      <c r="C105" s="62"/>
      <c r="D105" s="62"/>
      <c r="E105" s="62"/>
      <c r="F105" s="62"/>
      <c r="G105" s="62"/>
      <c r="H105" s="62"/>
      <c r="I105" s="62"/>
      <c r="J105" s="62"/>
      <c r="K105" s="62"/>
      <c r="L105" s="62"/>
      <c r="M105" s="62"/>
      <c r="N105" s="62"/>
      <c r="O105" s="62"/>
      <c r="U105" s="29"/>
      <c r="V105" s="29"/>
      <c r="W105" s="29"/>
      <c r="X105" s="29"/>
      <c r="Y105" s="29"/>
      <c r="Z105" s="29"/>
      <c r="AA105" s="29"/>
      <c r="AB105" s="29"/>
      <c r="AC105" s="29"/>
      <c r="AD105" s="29"/>
      <c r="AE105" s="29"/>
    </row>
    <row r="106" spans="1:31" ht="12" customHeight="1" hidden="1">
      <c r="A106" s="62"/>
      <c r="B106" s="62" t="str">
        <f>IF(Info!$H$13&gt;2.5,"Clamping length",IF(Info!$H$13&gt;1.5,"Gesamtklemmlänge","Toplam sıkılan boy"))</f>
        <v>Toplam sıkılan boy</v>
      </c>
      <c r="C106" s="62"/>
      <c r="D106" s="62"/>
      <c r="F106" s="62"/>
      <c r="G106" s="62"/>
      <c r="H106" s="62"/>
      <c r="I106" s="62"/>
      <c r="J106" s="62"/>
      <c r="K106" s="62"/>
      <c r="L106" s="62"/>
      <c r="M106" s="62"/>
      <c r="N106" s="62"/>
      <c r="O106" s="62"/>
      <c r="U106" s="29"/>
      <c r="V106" s="29"/>
      <c r="W106" s="29"/>
      <c r="X106" s="29"/>
      <c r="Y106" s="29"/>
      <c r="Z106" s="29"/>
      <c r="AA106" s="29"/>
      <c r="AB106" s="29"/>
      <c r="AC106" s="29"/>
      <c r="AD106" s="29"/>
      <c r="AE106" s="29"/>
    </row>
    <row r="107" spans="1:31" ht="12" customHeight="1" hidden="1">
      <c r="A107" s="62"/>
      <c r="B107" s="62" t="str">
        <f>IF(Info!H13&gt;2.5,"All reduced Stress during operation",IF(Info!H13&gt;1.5,"Gesamt red. Spannung im Betrieb","İşletmedeki toplam bileşik gerilim"))</f>
        <v>İşletmedeki toplam bileşik gerilim</v>
      </c>
      <c r="C107" s="62"/>
      <c r="D107" s="62"/>
      <c r="F107" s="62"/>
      <c r="G107" s="62"/>
      <c r="H107" s="62"/>
      <c r="I107" s="62"/>
      <c r="J107" s="62"/>
      <c r="K107" s="62"/>
      <c r="L107" s="62"/>
      <c r="M107" s="62"/>
      <c r="N107" s="62"/>
      <c r="O107" s="62"/>
      <c r="U107" s="29"/>
      <c r="V107" s="29"/>
      <c r="W107" s="29"/>
      <c r="X107" s="29"/>
      <c r="Y107" s="29"/>
      <c r="Z107" s="29"/>
      <c r="AA107" s="29"/>
      <c r="AB107" s="29"/>
      <c r="AC107" s="29"/>
      <c r="AD107" s="29"/>
      <c r="AE107" s="29"/>
    </row>
    <row r="108" spans="1:31" ht="12" customHeight="1" hidden="1">
      <c r="A108" s="62"/>
      <c r="B108" s="62" t="str">
        <f>IF(Info!H13&gt;2.5,"Thread",IF(Info!H13&gt;1.5,"Gewinde","Vida"))</f>
        <v>Vida</v>
      </c>
      <c r="C108" s="62"/>
      <c r="E108" s="62"/>
      <c r="F108" s="62"/>
      <c r="G108" s="62"/>
      <c r="H108" s="62"/>
      <c r="I108" s="62"/>
      <c r="J108" s="62"/>
      <c r="K108" s="62"/>
      <c r="L108" s="62"/>
      <c r="M108" s="62"/>
      <c r="N108" s="62"/>
      <c r="O108" s="62"/>
      <c r="U108" s="29"/>
      <c r="V108" s="29"/>
      <c r="W108" s="29"/>
      <c r="X108" s="29"/>
      <c r="Y108" s="29"/>
      <c r="Z108" s="29"/>
      <c r="AA108" s="29"/>
      <c r="AB108" s="29"/>
      <c r="AC108" s="29"/>
      <c r="AD108" s="29"/>
      <c r="AE108" s="29"/>
    </row>
    <row r="109" spans="1:31" ht="12" customHeight="1" hidden="1">
      <c r="A109" s="62"/>
      <c r="B109" s="62" t="str">
        <f>IF(Info!H13&gt;2.5,"Thread data",IF(Info!H13&gt;1.5,"Gewindedaten ","Vida değerleri"))</f>
        <v>Vida değerleri</v>
      </c>
      <c r="C109" s="62"/>
      <c r="E109" s="62"/>
      <c r="F109" s="62"/>
      <c r="G109" s="62"/>
      <c r="H109" s="62"/>
      <c r="I109" s="62"/>
      <c r="J109" s="62"/>
      <c r="K109" s="62"/>
      <c r="L109" s="62"/>
      <c r="M109" s="62"/>
      <c r="N109" s="62"/>
      <c r="O109" s="62"/>
      <c r="U109" s="29"/>
      <c r="V109" s="29"/>
      <c r="W109" s="29"/>
      <c r="X109" s="29"/>
      <c r="Y109" s="29"/>
      <c r="Z109" s="29"/>
      <c r="AA109" s="29"/>
      <c r="AB109" s="29"/>
      <c r="AC109" s="29"/>
      <c r="AD109" s="29"/>
      <c r="AE109" s="29"/>
    </row>
    <row r="110" spans="1:31" ht="12" customHeight="1" hidden="1">
      <c r="A110" s="62"/>
      <c r="B110" s="62" t="str">
        <f>IF(Info!$H$13&gt;2.5,"Screw length",IF(Info!$H$13&gt;1.5,"Gewindelänge","Civatada vida boyu"))</f>
        <v>Civatada vida boyu</v>
      </c>
      <c r="C110" s="62"/>
      <c r="E110" s="62"/>
      <c r="F110" s="62"/>
      <c r="G110" s="62"/>
      <c r="H110" s="62"/>
      <c r="I110" s="62"/>
      <c r="J110" s="62"/>
      <c r="K110" s="62"/>
      <c r="L110" s="62"/>
      <c r="M110" s="62"/>
      <c r="N110" s="62"/>
      <c r="O110" s="62"/>
      <c r="U110" s="29"/>
      <c r="V110" s="29"/>
      <c r="W110" s="29"/>
      <c r="X110" s="29"/>
      <c r="Y110" s="29"/>
      <c r="Z110" s="29"/>
      <c r="AA110" s="29"/>
      <c r="AB110" s="29"/>
      <c r="AC110" s="29"/>
      <c r="AD110" s="29"/>
      <c r="AE110" s="29"/>
    </row>
    <row r="111" spans="1:31" ht="12" customHeight="1" hidden="1">
      <c r="A111" s="62"/>
      <c r="B111" s="62" t="str">
        <f>IF(Info!H13&gt;2.5,"Torque of screw thread",IF(Info!H13&gt;1.5,"Gewindemoment","Vidanın momenti"))</f>
        <v>Vidanın momenti</v>
      </c>
      <c r="C111" s="62"/>
      <c r="E111" s="62"/>
      <c r="F111" s="62"/>
      <c r="G111" s="62"/>
      <c r="H111" s="62"/>
      <c r="I111" s="62"/>
      <c r="J111" s="62"/>
      <c r="K111" s="62"/>
      <c r="L111" s="62"/>
      <c r="M111" s="62"/>
      <c r="N111" s="62"/>
      <c r="O111" s="62"/>
      <c r="U111" s="29"/>
      <c r="V111" s="29"/>
      <c r="W111" s="29"/>
      <c r="X111" s="29"/>
      <c r="Y111" s="29"/>
      <c r="Z111" s="29"/>
      <c r="AA111" s="29"/>
      <c r="AB111" s="29"/>
      <c r="AC111" s="29"/>
      <c r="AD111" s="29"/>
      <c r="AE111" s="29"/>
    </row>
    <row r="112" spans="1:31" ht="12" customHeight="1" hidden="1">
      <c r="A112" s="62"/>
      <c r="B112" s="62" t="str">
        <f>IF(Info!$H$13&gt;2.5,"Thread friction momentum",IF(Info!$H$13&gt;1.5,"Gewindereibungsmoment","Vidadaki sürtünme momenti"))</f>
        <v>Vidadaki sürtünme momenti</v>
      </c>
      <c r="C112" s="62"/>
      <c r="E112" s="62"/>
      <c r="F112" s="62"/>
      <c r="G112" s="62"/>
      <c r="H112" s="62"/>
      <c r="I112" s="62"/>
      <c r="J112" s="62"/>
      <c r="K112" s="62"/>
      <c r="L112" s="62"/>
      <c r="M112" s="62"/>
      <c r="N112" s="62"/>
      <c r="O112" s="62"/>
      <c r="U112" s="29"/>
      <c r="V112" s="29"/>
      <c r="W112" s="29"/>
      <c r="X112" s="29"/>
      <c r="Y112" s="29"/>
      <c r="Z112" s="29"/>
      <c r="AA112" s="29"/>
      <c r="AB112" s="29"/>
      <c r="AC112" s="29"/>
      <c r="AD112" s="29"/>
      <c r="AE112" s="29"/>
    </row>
    <row r="113" spans="1:31" ht="12" customHeight="1" hidden="1">
      <c r="A113" s="62"/>
      <c r="B113" s="62" t="str">
        <f>IF(Info!H13&gt;2.5,"Thread",IF(Info!H13&gt;1.5,"Gewinde-Reibungszahl","Vidada sürtünme sayısı"))</f>
        <v>Vidada sürtünme sayısı</v>
      </c>
      <c r="C113" s="62"/>
      <c r="E113" s="62"/>
      <c r="F113" s="62"/>
      <c r="G113" s="62"/>
      <c r="H113" s="62"/>
      <c r="I113" s="62"/>
      <c r="J113" s="62"/>
      <c r="K113" s="62"/>
      <c r="L113" s="62"/>
      <c r="M113" s="62"/>
      <c r="N113" s="62"/>
      <c r="O113" s="62"/>
      <c r="U113" s="29"/>
      <c r="V113" s="29"/>
      <c r="W113" s="29"/>
      <c r="X113" s="29"/>
      <c r="Y113" s="29"/>
      <c r="Z113" s="29"/>
      <c r="AA113" s="29"/>
      <c r="AB113" s="29"/>
      <c r="AC113" s="29"/>
      <c r="AD113" s="29"/>
      <c r="AE113" s="29"/>
    </row>
    <row r="114" spans="1:31" ht="12" customHeight="1" hidden="1">
      <c r="A114" s="62"/>
      <c r="B114" s="62" t="str">
        <f>IF(Info!$H$13&gt;2.5,"Permissible surface pressure",IF(Info!$H$13&gt;1.5,"Grenzflächenpressung","Sınır yüzey basıncı"))</f>
        <v>Sınır yüzey basıncı</v>
      </c>
      <c r="C114" s="62"/>
      <c r="D114" s="62"/>
      <c r="F114" s="62"/>
      <c r="G114" s="62"/>
      <c r="H114" s="62"/>
      <c r="I114" s="62"/>
      <c r="J114" s="62"/>
      <c r="K114" s="62"/>
      <c r="L114" s="62"/>
      <c r="M114" s="62"/>
      <c r="N114" s="62"/>
      <c r="O114" s="62"/>
      <c r="U114" s="29"/>
      <c r="V114" s="29"/>
      <c r="W114" s="29"/>
      <c r="X114" s="29"/>
      <c r="Y114" s="29"/>
      <c r="Z114" s="29"/>
      <c r="AA114" s="29"/>
      <c r="AB114" s="29"/>
      <c r="AC114" s="29"/>
      <c r="AD114" s="29"/>
      <c r="AE114" s="29"/>
    </row>
    <row r="115" spans="1:31" ht="12" customHeight="1" hidden="1">
      <c r="A115" s="62"/>
      <c r="B115" s="62" t="str">
        <f>IF(Info!H13&gt;2.5,"Coarse control of the screw",IF(Info!H13&gt;1.5,"Grobkontrolle der Schraube","Cıvatanın kaba kontrolü"))</f>
        <v>Cıvatanın kaba kontrolü</v>
      </c>
      <c r="C115" s="62"/>
      <c r="D115" s="62"/>
      <c r="F115" s="62"/>
      <c r="G115" s="62"/>
      <c r="H115" s="62"/>
      <c r="I115" s="62"/>
      <c r="J115" s="62"/>
      <c r="K115" s="62"/>
      <c r="L115" s="62"/>
      <c r="M115" s="62"/>
      <c r="N115" s="62"/>
      <c r="O115" s="62"/>
      <c r="S115" s="48"/>
      <c r="T115" s="29"/>
      <c r="U115" s="29"/>
      <c r="V115" s="29"/>
      <c r="W115" s="29"/>
      <c r="X115" s="29"/>
      <c r="Y115" s="29"/>
      <c r="Z115" s="29"/>
      <c r="AA115" s="29"/>
      <c r="AB115" s="29"/>
      <c r="AC115" s="29"/>
      <c r="AD115" s="29"/>
      <c r="AE115" s="29"/>
    </row>
    <row r="116" spans="1:31" ht="12" customHeight="1" hidden="1">
      <c r="A116" s="62"/>
      <c r="B116" s="62" t="str">
        <f>IF(Info!H13&gt;2.5,"Do you have a rough draft where all dimensions are specified?",IF(Info!H13&gt;1.5,"Haben Sie eine Skizze aus der alle Grössen ersichtlich sind?","Bütün bilinenleri gösteren kroki var mı?"))</f>
        <v>Bütün bilinenleri gösteren kroki var mı?</v>
      </c>
      <c r="C116" s="62"/>
      <c r="D116" s="62"/>
      <c r="E116" s="62"/>
      <c r="F116" s="62"/>
      <c r="G116" s="62"/>
      <c r="H116" s="62"/>
      <c r="I116" s="62"/>
      <c r="J116" s="62"/>
      <c r="K116" s="62"/>
      <c r="L116" s="62"/>
      <c r="M116" s="62"/>
      <c r="N116" s="62"/>
      <c r="O116" s="62"/>
      <c r="T116" s="29"/>
      <c r="U116" s="29"/>
      <c r="V116" s="29"/>
      <c r="W116" s="29"/>
      <c r="X116" s="29"/>
      <c r="Y116" s="29"/>
      <c r="Z116" s="29"/>
      <c r="AA116" s="29"/>
      <c r="AB116" s="29"/>
      <c r="AC116" s="29"/>
      <c r="AD116" s="29"/>
      <c r="AE116" s="29"/>
    </row>
    <row r="117" spans="1:31" ht="12" customHeight="1" hidden="1">
      <c r="A117" s="62"/>
      <c r="B117" s="62" t="str">
        <f>IF(Info!H13&gt;2.5,"Minor diameter",IF(Info!H13&gt;1.5,"Kerndurchmesser ","Diş dibi çapı"))</f>
        <v>Diş dibi çapı</v>
      </c>
      <c r="C117" s="62"/>
      <c r="D117" s="62"/>
      <c r="E117" s="62"/>
      <c r="F117" s="62"/>
      <c r="G117" s="62"/>
      <c r="H117" s="62"/>
      <c r="I117" s="62"/>
      <c r="J117" s="62"/>
      <c r="K117" s="62"/>
      <c r="L117" s="62"/>
      <c r="M117" s="62"/>
      <c r="N117" s="62"/>
      <c r="O117" s="62"/>
      <c r="T117" s="29"/>
      <c r="U117" s="29"/>
      <c r="V117" s="29"/>
      <c r="W117" s="29"/>
      <c r="X117" s="29"/>
      <c r="Y117" s="29"/>
      <c r="Z117" s="29"/>
      <c r="AA117" s="29"/>
      <c r="AB117" s="29"/>
      <c r="AC117" s="29"/>
      <c r="AD117" s="29"/>
      <c r="AE117" s="29"/>
    </row>
    <row r="118" spans="1:31" ht="12" customHeight="1" hidden="1">
      <c r="A118" s="62"/>
      <c r="B118" s="62" t="str">
        <f>IF(Info!H13&gt;2.5,"Minor area",IF(Info!H13&gt;1.5,"Kernfläche","Dişdibi alanı"))</f>
        <v>Dişdibi alanı</v>
      </c>
      <c r="C118" s="62"/>
      <c r="D118" s="62"/>
      <c r="E118" s="62"/>
      <c r="F118" s="62"/>
      <c r="G118" s="62"/>
      <c r="H118" s="62"/>
      <c r="I118" s="62"/>
      <c r="J118" s="62"/>
      <c r="K118" s="62"/>
      <c r="L118" s="62"/>
      <c r="M118" s="62"/>
      <c r="N118" s="62"/>
      <c r="O118" s="62"/>
      <c r="T118" s="29"/>
      <c r="U118" s="29"/>
      <c r="V118" s="29"/>
      <c r="W118" s="29"/>
      <c r="X118" s="29"/>
      <c r="Y118" s="29"/>
      <c r="Z118" s="29"/>
      <c r="AA118" s="29"/>
      <c r="AB118" s="29"/>
      <c r="AC118" s="29"/>
      <c r="AD118" s="29"/>
      <c r="AE118" s="29"/>
    </row>
    <row r="119" spans="1:31" ht="12" customHeight="1" hidden="1">
      <c r="A119" s="62"/>
      <c r="B119" s="62" t="str">
        <f>IF(Info!$H$13&gt;2.5,"Least sheet metal thickness",IF(Info!$H$13&gt;1.5,"Kleinste Bauteildicke","En ince plaka kalınlığı"))</f>
        <v>En ince plaka kalınlığı</v>
      </c>
      <c r="C119" s="62"/>
      <c r="D119" s="62"/>
      <c r="E119" s="62"/>
      <c r="F119" s="62"/>
      <c r="G119" s="62"/>
      <c r="H119" s="62"/>
      <c r="I119" s="62"/>
      <c r="J119" s="62"/>
      <c r="K119" s="62"/>
      <c r="L119" s="62"/>
      <c r="M119" s="62"/>
      <c r="N119" s="62"/>
      <c r="O119" s="62"/>
      <c r="T119" s="29"/>
      <c r="U119" s="29"/>
      <c r="V119" s="29"/>
      <c r="W119" s="29"/>
      <c r="X119" s="29"/>
      <c r="Y119" s="29"/>
      <c r="Z119" s="29"/>
      <c r="AA119" s="29"/>
      <c r="AB119" s="29"/>
      <c r="AC119" s="29"/>
      <c r="AD119" s="29"/>
      <c r="AE119" s="29"/>
    </row>
    <row r="120" spans="1:31" ht="12" customHeight="1" hidden="1">
      <c r="A120" s="62"/>
      <c r="B120" s="62" t="str">
        <f>IF(Info!$H$13&gt;2.5,"Minimum area",IF(Info!$H$13&gt;1.5,"Kleinste Fläche","En küçük alan"))</f>
        <v>En küçük alan</v>
      </c>
      <c r="C120" s="62"/>
      <c r="D120" s="62"/>
      <c r="E120" s="62"/>
      <c r="F120" s="62"/>
      <c r="G120" s="62"/>
      <c r="H120" s="62"/>
      <c r="I120" s="62"/>
      <c r="J120" s="62"/>
      <c r="K120" s="62"/>
      <c r="L120" s="62"/>
      <c r="M120" s="62"/>
      <c r="N120" s="62"/>
      <c r="O120" s="62"/>
      <c r="T120" s="29"/>
      <c r="U120" s="29"/>
      <c r="V120" s="29"/>
      <c r="W120" s="29"/>
      <c r="X120" s="29"/>
      <c r="Y120" s="29"/>
      <c r="Z120" s="29"/>
      <c r="AA120" s="29"/>
      <c r="AB120" s="29"/>
      <c r="AC120" s="29"/>
      <c r="AD120" s="29"/>
      <c r="AE120" s="29"/>
    </row>
    <row r="121" spans="1:31" ht="12" customHeight="1" hidden="1">
      <c r="A121" s="62"/>
      <c r="B121" s="62" t="str">
        <f>IF(Info!H13&gt;2.5,"from Crossways force",IF(Info!H13&gt;1.5,"aus Querkraft","Enine kuvvettem"))</f>
        <v>Enine kuvvettem</v>
      </c>
      <c r="C121" s="62"/>
      <c r="D121" s="62"/>
      <c r="E121" s="62"/>
      <c r="F121" s="62"/>
      <c r="G121" s="62"/>
      <c r="H121" s="62"/>
      <c r="I121" s="62"/>
      <c r="J121" s="62"/>
      <c r="K121" s="62"/>
      <c r="L121" s="62"/>
      <c r="M121" s="62"/>
      <c r="N121" s="62"/>
      <c r="O121" s="62"/>
      <c r="T121" s="29"/>
      <c r="U121" s="29"/>
      <c r="V121" s="29"/>
      <c r="W121" s="29"/>
      <c r="X121" s="29"/>
      <c r="Y121" s="29"/>
      <c r="Z121" s="29"/>
      <c r="AA121" s="29"/>
      <c r="AB121" s="29"/>
      <c r="AC121" s="29"/>
      <c r="AD121" s="29"/>
      <c r="AE121" s="29"/>
    </row>
    <row r="122" spans="1:31" ht="12" customHeight="1" hidden="1">
      <c r="A122" s="62"/>
      <c r="B122" s="62" t="str">
        <f>IF(Info!H13&gt;2.5,"Clamping forces",IF(Info!H13&gt;1.5,"Klemmkräfte","Sıkıştırma kuvvetleri"))</f>
        <v>Sıkıştırma kuvvetleri</v>
      </c>
      <c r="C122" s="62"/>
      <c r="D122" s="62"/>
      <c r="E122" s="62"/>
      <c r="F122" s="62"/>
      <c r="G122" s="62"/>
      <c r="H122" s="62"/>
      <c r="I122" s="62"/>
      <c r="J122" s="62"/>
      <c r="K122" s="62"/>
      <c r="L122" s="62"/>
      <c r="M122" s="62"/>
      <c r="N122" s="62"/>
      <c r="O122" s="62"/>
      <c r="T122" s="29"/>
      <c r="U122" s="29"/>
      <c r="V122" s="29"/>
      <c r="W122" s="29"/>
      <c r="X122" s="29"/>
      <c r="Y122" s="29"/>
      <c r="Z122" s="29"/>
      <c r="AA122" s="29"/>
      <c r="AB122" s="29"/>
      <c r="AC122" s="29"/>
      <c r="AD122" s="29"/>
      <c r="AE122" s="29"/>
    </row>
    <row r="123" spans="1:31" ht="12" customHeight="1" hidden="1">
      <c r="A123" s="62"/>
      <c r="B123" s="62"/>
      <c r="C123" s="62"/>
      <c r="D123" s="62"/>
      <c r="E123" s="62"/>
      <c r="F123" s="62"/>
      <c r="G123" s="62"/>
      <c r="H123" s="62"/>
      <c r="I123" s="62"/>
      <c r="J123" s="62"/>
      <c r="K123" s="62"/>
      <c r="L123" s="62"/>
      <c r="M123" s="62"/>
      <c r="N123" s="62"/>
      <c r="O123" s="62"/>
      <c r="T123" s="29"/>
      <c r="U123" s="29"/>
      <c r="V123" s="29"/>
      <c r="W123" s="29"/>
      <c r="X123" s="29"/>
      <c r="Y123" s="29"/>
      <c r="Z123" s="29"/>
      <c r="AA123" s="29"/>
      <c r="AB123" s="29"/>
      <c r="AC123" s="29"/>
      <c r="AD123" s="29"/>
      <c r="AE123" s="29"/>
    </row>
    <row r="124" spans="1:31" ht="12" customHeight="1" hidden="1">
      <c r="A124" s="62"/>
      <c r="B124" s="62" t="str">
        <f>IF(Info!H13&gt;2.5,"Clamping force",IF(Info!H13&gt;1.5,"Klemmkraft","Sıkıştırma kuvveti"))</f>
        <v>Sıkıştırma kuvveti</v>
      </c>
      <c r="C124" s="62"/>
      <c r="D124" s="62"/>
      <c r="E124" s="62"/>
      <c r="F124" s="62"/>
      <c r="G124" s="62"/>
      <c r="H124" s="62"/>
      <c r="I124" s="62"/>
      <c r="J124" s="62"/>
      <c r="K124" s="62"/>
      <c r="L124" s="62"/>
      <c r="M124" s="62"/>
      <c r="N124" s="62"/>
      <c r="O124" s="62"/>
      <c r="T124" s="29"/>
      <c r="U124" s="29"/>
      <c r="V124" s="29"/>
      <c r="W124" s="29"/>
      <c r="X124" s="29"/>
      <c r="Y124" s="29"/>
      <c r="Z124" s="29"/>
      <c r="AA124" s="29"/>
      <c r="AB124" s="29"/>
      <c r="AC124" s="29"/>
      <c r="AD124" s="29"/>
      <c r="AE124" s="29"/>
    </row>
    <row r="125" spans="1:31" ht="12" customHeight="1" hidden="1">
      <c r="A125" s="62"/>
      <c r="B125" s="62"/>
      <c r="C125" s="62"/>
      <c r="D125" s="62"/>
      <c r="E125" s="62"/>
      <c r="F125" s="62"/>
      <c r="G125" s="62"/>
      <c r="H125" s="62"/>
      <c r="I125" s="62"/>
      <c r="J125" s="62"/>
      <c r="K125" s="62"/>
      <c r="L125" s="62"/>
      <c r="M125" s="62"/>
      <c r="N125" s="62"/>
      <c r="O125" s="62"/>
      <c r="T125" s="29"/>
      <c r="U125" s="29"/>
      <c r="V125" s="29"/>
      <c r="W125" s="29"/>
      <c r="X125" s="29"/>
      <c r="Y125" s="29"/>
      <c r="Z125" s="29"/>
      <c r="AA125" s="29"/>
      <c r="AB125" s="29"/>
      <c r="AC125" s="29"/>
      <c r="AD125" s="29"/>
      <c r="AE125" s="29"/>
    </row>
    <row r="126" spans="1:31" ht="12" customHeight="1" hidden="1">
      <c r="A126" s="62"/>
      <c r="B126" s="62" t="str">
        <f>IF(Info!$H$13&gt;2.5,"Buckle force",IF(Info!$H$13&gt;1.5,"Knickkraft","Flambaj, Burkma kuvveti"))</f>
        <v>Flambaj, Burkma kuvveti</v>
      </c>
      <c r="C126" s="62"/>
      <c r="D126" s="62"/>
      <c r="E126" s="62"/>
      <c r="F126" s="62"/>
      <c r="G126" s="62"/>
      <c r="H126" s="62"/>
      <c r="I126" s="62"/>
      <c r="J126" s="62"/>
      <c r="K126" s="62"/>
      <c r="L126" s="62"/>
      <c r="M126" s="62"/>
      <c r="N126" s="62"/>
      <c r="O126" s="62"/>
      <c r="T126" s="29"/>
      <c r="U126" s="29"/>
      <c r="V126" s="29"/>
      <c r="W126" s="29"/>
      <c r="X126" s="29"/>
      <c r="Y126" s="29"/>
      <c r="Z126" s="29"/>
      <c r="AA126" s="29"/>
      <c r="AB126" s="29"/>
      <c r="AC126" s="29"/>
      <c r="AD126" s="29"/>
      <c r="AE126" s="29"/>
    </row>
    <row r="127" spans="1:31" ht="12" customHeight="1" hidden="1">
      <c r="A127" s="62"/>
      <c r="B127" s="62" t="str">
        <f>IF(Info!$H$13&gt;2.5,"Buckle length",IF(Info!$H$13&gt;1.5,"Knicklänge","Burkulma boyu"))</f>
        <v>Burkulma boyu</v>
      </c>
      <c r="C127" s="62"/>
      <c r="D127" s="62"/>
      <c r="E127" s="62"/>
      <c r="F127" s="62"/>
      <c r="G127" s="62"/>
      <c r="H127" s="62"/>
      <c r="I127" s="62"/>
      <c r="J127" s="62"/>
      <c r="K127" s="62"/>
      <c r="L127" s="62"/>
      <c r="M127" s="62"/>
      <c r="N127" s="62"/>
      <c r="O127" s="62"/>
      <c r="T127" s="29"/>
      <c r="U127" s="29"/>
      <c r="V127" s="29"/>
      <c r="W127" s="29"/>
      <c r="X127" s="29"/>
      <c r="Y127" s="29"/>
      <c r="Z127" s="29"/>
      <c r="AA127" s="29"/>
      <c r="AB127" s="29"/>
      <c r="AC127" s="29"/>
      <c r="AD127" s="29"/>
      <c r="AE127" s="29"/>
    </row>
    <row r="128" spans="1:31" ht="12" customHeight="1" hidden="1">
      <c r="A128" s="62"/>
      <c r="B128" s="62" t="str">
        <f>IF(Info!H13&gt;2.5,"Buckling stress for",IF(Info!H13&gt;1.5,"Knickspannung nach","Burkulma gerilmesi"))</f>
        <v>Burkulma gerilmesi</v>
      </c>
      <c r="C128" s="62"/>
      <c r="D128" s="62"/>
      <c r="E128" s="62"/>
      <c r="F128" s="62"/>
      <c r="G128" s="62"/>
      <c r="H128" s="62"/>
      <c r="I128" s="62"/>
      <c r="J128" s="62"/>
      <c r="K128" s="62"/>
      <c r="L128" s="62"/>
      <c r="M128" s="62"/>
      <c r="N128" s="62"/>
      <c r="O128" s="62"/>
      <c r="T128" s="29"/>
      <c r="U128" s="29"/>
      <c r="V128" s="29"/>
      <c r="W128" s="29"/>
      <c r="X128" s="29"/>
      <c r="Y128" s="29"/>
      <c r="Z128" s="29"/>
      <c r="AA128" s="29"/>
      <c r="AB128" s="29"/>
      <c r="AC128" s="29"/>
      <c r="AD128" s="29"/>
      <c r="AE128" s="29"/>
    </row>
    <row r="129" spans="1:31" ht="12" customHeight="1" hidden="1">
      <c r="A129" s="62"/>
      <c r="B129" s="62" t="str">
        <f>IF(Info!H13&gt;2.5,"Construction",IF(Info!H13&gt;1.5,"Konstruktion","Konstruksiyon"))</f>
        <v>Konstruksiyon</v>
      </c>
      <c r="C129" s="62"/>
      <c r="E129" s="62"/>
      <c r="F129" s="62"/>
      <c r="G129" s="62"/>
      <c r="H129" s="62"/>
      <c r="I129" s="62"/>
      <c r="J129" s="62"/>
      <c r="K129" s="62"/>
      <c r="L129" s="62"/>
      <c r="M129" s="62"/>
      <c r="N129" s="62"/>
      <c r="O129" s="62"/>
      <c r="T129" s="29"/>
      <c r="U129" s="29"/>
      <c r="V129" s="29"/>
      <c r="W129" s="29"/>
      <c r="X129" s="29"/>
      <c r="Y129" s="29"/>
      <c r="Z129" s="29"/>
      <c r="AA129" s="29"/>
      <c r="AB129" s="29"/>
      <c r="AC129" s="29"/>
      <c r="AD129" s="29"/>
      <c r="AE129" s="29"/>
    </row>
    <row r="130" spans="1:31" ht="12" customHeight="1" hidden="1">
      <c r="A130" s="62"/>
      <c r="B130" s="62" t="str">
        <f>IF(Info!H13&gt;2.5,"Controls",IF(Info!H13&gt;1.5,"Kontrollen","Kontroller"))</f>
        <v>Kontroller</v>
      </c>
      <c r="C130" s="62"/>
      <c r="E130" s="62"/>
      <c r="F130" s="62"/>
      <c r="G130" s="62"/>
      <c r="H130" s="62"/>
      <c r="I130" s="62"/>
      <c r="J130" s="62"/>
      <c r="K130" s="62"/>
      <c r="L130" s="62"/>
      <c r="M130" s="62"/>
      <c r="N130" s="62"/>
      <c r="O130" s="62"/>
      <c r="T130" s="29"/>
      <c r="U130" s="29"/>
      <c r="V130" s="29"/>
      <c r="W130" s="29"/>
      <c r="X130" s="29"/>
      <c r="Y130" s="29"/>
      <c r="Z130" s="29"/>
      <c r="AA130" s="29"/>
      <c r="AB130" s="29"/>
      <c r="AC130" s="29"/>
      <c r="AD130" s="29"/>
      <c r="AE130" s="29"/>
    </row>
    <row r="131" spans="1:31" ht="12" customHeight="1" hidden="1">
      <c r="A131" s="62"/>
      <c r="B131" s="62" t="str">
        <f>IF(Info!H13&gt;2.5,"Check of buckling stress",IF(Info!H13&gt;1.5,"Kontrolle auf Knickung","Flambaj kontrolü"))</f>
        <v>Flambaj kontrolü</v>
      </c>
      <c r="C131" s="62"/>
      <c r="E131" s="62"/>
      <c r="F131" s="62"/>
      <c r="G131" s="62"/>
      <c r="H131" s="62"/>
      <c r="I131" s="62"/>
      <c r="J131" s="62"/>
      <c r="K131" s="62"/>
      <c r="L131" s="62"/>
      <c r="M131" s="62"/>
      <c r="N131" s="62"/>
      <c r="O131" s="62"/>
      <c r="T131" s="29"/>
      <c r="U131" s="29"/>
      <c r="V131" s="29"/>
      <c r="W131" s="29"/>
      <c r="X131" s="29"/>
      <c r="Y131" s="29"/>
      <c r="Z131" s="29"/>
      <c r="AA131" s="29"/>
      <c r="AB131" s="29"/>
      <c r="AC131" s="29"/>
      <c r="AD131" s="29"/>
      <c r="AE131" s="29"/>
    </row>
    <row r="132" spans="1:31" ht="12" customHeight="1" hidden="1">
      <c r="A132" s="62"/>
      <c r="B132" s="62" t="str">
        <f>IF(Info!H13&gt;2.5,"Head",IF(Info!H13&gt;1.5,"Kopf","Kafa"))</f>
        <v>Kafa</v>
      </c>
      <c r="C132" s="62"/>
      <c r="E132" s="62"/>
      <c r="F132" s="62"/>
      <c r="G132" s="62"/>
      <c r="H132" s="62"/>
      <c r="I132" s="62"/>
      <c r="J132" s="62"/>
      <c r="K132" s="62"/>
      <c r="L132" s="62"/>
      <c r="M132" s="62"/>
      <c r="N132" s="62"/>
      <c r="O132" s="62"/>
      <c r="T132" s="29"/>
      <c r="U132" s="29"/>
      <c r="V132" s="29"/>
      <c r="W132" s="29"/>
      <c r="X132" s="29"/>
      <c r="Y132" s="29"/>
      <c r="Z132" s="29"/>
      <c r="AA132" s="29"/>
      <c r="AB132" s="29"/>
      <c r="AC132" s="29"/>
      <c r="AD132" s="29"/>
      <c r="AE132" s="29"/>
    </row>
    <row r="133" spans="1:31" ht="12" customHeight="1" hidden="1">
      <c r="A133" s="62"/>
      <c r="B133" s="62" t="str">
        <f>IF(Info!H13&gt;2.5,"Head diameter",IF(Info!H13&gt;1.5,"Kopfdurchmesser","Kafaaltı dış çapı"))</f>
        <v>Kafaaltı dış çapı</v>
      </c>
      <c r="C133" s="62"/>
      <c r="E133" s="62"/>
      <c r="F133" s="62"/>
      <c r="G133" s="62"/>
      <c r="H133" s="62"/>
      <c r="I133" s="62"/>
      <c r="J133" s="62"/>
      <c r="K133" s="62"/>
      <c r="L133" s="62"/>
      <c r="M133" s="62"/>
      <c r="N133" s="62"/>
      <c r="O133" s="62"/>
      <c r="T133" s="29"/>
      <c r="U133" s="29"/>
      <c r="V133" s="29"/>
      <c r="W133" s="29"/>
      <c r="X133" s="29"/>
      <c r="Y133" s="29"/>
      <c r="Z133" s="29"/>
      <c r="AA133" s="29"/>
      <c r="AB133" s="29"/>
      <c r="AC133" s="29"/>
      <c r="AD133" s="29"/>
      <c r="AE133" s="29"/>
    </row>
    <row r="134" spans="1:31" ht="12" customHeight="1" hidden="1">
      <c r="A134" s="62"/>
      <c r="B134" s="62" t="str">
        <f>IF(Info!H13&gt;2.5,"Partitionsfactor of force ",IF(Info!H13&gt;1.5,"Krafteinteilungsfaktor","Kuvvet dağılım faktörü"))</f>
        <v>Kuvvet dağılım faktörü</v>
      </c>
      <c r="C134" s="62"/>
      <c r="E134" s="62"/>
      <c r="F134" s="62"/>
      <c r="G134" s="62"/>
      <c r="H134" s="62"/>
      <c r="I134" s="62"/>
      <c r="J134" s="62"/>
      <c r="K134" s="62"/>
      <c r="L134" s="62"/>
      <c r="M134" s="62"/>
      <c r="N134" s="62"/>
      <c r="O134" s="62"/>
      <c r="T134" s="29"/>
      <c r="U134" s="29"/>
      <c r="V134" s="29"/>
      <c r="W134" s="29"/>
      <c r="X134" s="29"/>
      <c r="Y134" s="29"/>
      <c r="Z134" s="29"/>
      <c r="AA134" s="29"/>
      <c r="AB134" s="29"/>
      <c r="AC134" s="29"/>
      <c r="AD134" s="29"/>
      <c r="AE134" s="29"/>
    </row>
    <row r="135" spans="1:31" ht="12" customHeight="1" hidden="1">
      <c r="A135" s="62"/>
      <c r="B135" s="62" t="str">
        <f>IF(Info!H13&gt;2.5,"Force conus angle",IF(Info!H13&gt;1.5,"Kraftkegel-Winkel","Kuvvet konisi açısı"))</f>
        <v>Kuvvet konisi açısı</v>
      </c>
      <c r="C135" s="62"/>
      <c r="E135" s="62"/>
      <c r="F135" s="62"/>
      <c r="G135" s="62"/>
      <c r="H135" s="62"/>
      <c r="I135" s="62"/>
      <c r="J135" s="62"/>
      <c r="K135" s="62"/>
      <c r="L135" s="62"/>
      <c r="M135" s="62"/>
      <c r="N135" s="62"/>
      <c r="O135" s="62"/>
      <c r="T135" s="29"/>
      <c r="U135" s="29"/>
      <c r="V135" s="29"/>
      <c r="W135" s="29"/>
      <c r="X135" s="29"/>
      <c r="Y135" s="29"/>
      <c r="Z135" s="29"/>
      <c r="AA135" s="29"/>
      <c r="AB135" s="29"/>
      <c r="AC135" s="29"/>
      <c r="AD135" s="29"/>
      <c r="AE135" s="29"/>
    </row>
    <row r="136" spans="1:31" ht="12" customHeight="1" hidden="1">
      <c r="A136" s="62"/>
      <c r="B136" s="62" t="str">
        <f>IF(Info!H13&gt;2.5,"Ratio of force",IF(Info!H13&gt;1.5,"Kraftverhältnis","Kuvvet oranı"))</f>
        <v>Kuvvet oranı</v>
      </c>
      <c r="C136" s="62"/>
      <c r="E136" s="62"/>
      <c r="F136" s="62"/>
      <c r="G136" s="62"/>
      <c r="H136" s="62"/>
      <c r="I136" s="62"/>
      <c r="J136" s="62"/>
      <c r="K136" s="62"/>
      <c r="L136" s="62"/>
      <c r="M136" s="62"/>
      <c r="N136" s="62"/>
      <c r="O136" s="62"/>
      <c r="T136" s="29"/>
      <c r="U136" s="29"/>
      <c r="V136" s="29"/>
      <c r="W136" s="29"/>
      <c r="X136" s="29"/>
      <c r="Y136" s="29"/>
      <c r="Z136" s="29"/>
      <c r="AA136" s="29"/>
      <c r="AB136" s="29"/>
      <c r="AC136" s="29"/>
      <c r="AD136" s="29"/>
      <c r="AE136" s="29"/>
    </row>
    <row r="137" spans="1:15" ht="12" customHeight="1" hidden="1">
      <c r="A137" s="62"/>
      <c r="B137" s="62" t="str">
        <f>IF(Info!H13&gt;2.5,"Strength proportion factor",IF(Info!H13&gt;1.5,"Kraftverhältnisfaktor","Kuvvet oranı faktörü"))</f>
        <v>Kuvvet oranı faktörü</v>
      </c>
      <c r="C137" s="62"/>
      <c r="F137" s="62"/>
      <c r="G137" s="62"/>
      <c r="H137" s="62"/>
      <c r="I137" s="62"/>
      <c r="J137" s="62"/>
      <c r="K137" s="62"/>
      <c r="L137" s="62"/>
      <c r="M137" s="62"/>
      <c r="N137" s="62"/>
      <c r="O137" s="62"/>
    </row>
    <row r="138" spans="1:15" ht="12" customHeight="1" hidden="1">
      <c r="A138" s="62"/>
      <c r="B138" s="62" t="str">
        <f>IF(Info!H13&gt;2.5,"Forces and Moments",IF(Info!H13&gt;1.5,"Kräfte und Momente","Kuvvet ve momentler"))</f>
        <v>Kuvvet ve momentler</v>
      </c>
      <c r="C138" s="62"/>
      <c r="F138" s="62"/>
      <c r="G138" s="62"/>
      <c r="H138" s="62"/>
      <c r="I138" s="62"/>
      <c r="J138" s="62"/>
      <c r="K138" s="62"/>
      <c r="L138" s="62"/>
      <c r="M138" s="62"/>
      <c r="N138" s="62"/>
      <c r="O138" s="62"/>
    </row>
    <row r="139" spans="1:15" ht="12" customHeight="1" hidden="1">
      <c r="A139" s="62"/>
      <c r="B139" s="62" t="str">
        <f>IF(Info!$H$13&gt;2.5,"Bearing",IF(Info!$H$13&gt;1.5,"Lager","Yatak"))</f>
        <v>Yatak</v>
      </c>
      <c r="C139" s="62"/>
      <c r="F139" s="62"/>
      <c r="G139" s="62"/>
      <c r="H139" s="62"/>
      <c r="I139" s="62"/>
      <c r="J139" s="62"/>
      <c r="K139" s="62"/>
      <c r="L139" s="62"/>
      <c r="M139" s="62"/>
      <c r="N139" s="62"/>
      <c r="O139" s="62"/>
    </row>
    <row r="140" spans="1:15" ht="12" customHeight="1" hidden="1">
      <c r="A140" s="62"/>
      <c r="B140" s="62" t="str">
        <f>IF(Info!$H$13&gt;2.5,"Bearing diameter",IF(Info!$H$13&gt;1.5,"Lagerdurchmesser","Yatak çapı"))</f>
        <v>Yatak çapı</v>
      </c>
      <c r="C140" s="62"/>
      <c r="F140" s="62"/>
      <c r="G140" s="62"/>
      <c r="H140" s="62"/>
      <c r="I140" s="62"/>
      <c r="J140" s="62"/>
      <c r="K140" s="62"/>
      <c r="L140" s="62"/>
      <c r="M140" s="62"/>
      <c r="N140" s="62"/>
      <c r="O140" s="62"/>
    </row>
    <row r="141" spans="1:15" ht="12" customHeight="1" hidden="1">
      <c r="A141" s="62"/>
      <c r="B141" s="62" t="str">
        <f>IF(Info!$H$13&gt;2.5,"Bearing friction momentum",IF(Info!$H$13&gt;1.5,"Lagerreibungsmoment","Yatakdaki sürtünme momenti"))</f>
        <v>Yatakdaki sürtünme momenti</v>
      </c>
      <c r="C141" s="62"/>
      <c r="F141" s="62"/>
      <c r="G141" s="62"/>
      <c r="H141" s="62"/>
      <c r="I141" s="62"/>
      <c r="J141" s="62"/>
      <c r="K141" s="62"/>
      <c r="L141" s="62"/>
      <c r="M141" s="62"/>
      <c r="N141" s="62"/>
      <c r="O141" s="62"/>
    </row>
    <row r="142" spans="1:15" ht="12" customHeight="1" hidden="1">
      <c r="A142" s="62"/>
      <c r="B142" s="62" t="str">
        <f>IF(Info!H13&gt;2.5,"Nut length",IF(Info!H13&gt;1.5,"Länge der Mutter","Somun boyu"))</f>
        <v>Somun boyu</v>
      </c>
      <c r="C142" s="62"/>
      <c r="F142" s="62"/>
      <c r="G142" s="62"/>
      <c r="H142" s="62"/>
      <c r="I142" s="62"/>
      <c r="J142" s="62"/>
      <c r="K142" s="62"/>
      <c r="L142" s="62"/>
      <c r="M142" s="62"/>
      <c r="N142" s="62"/>
      <c r="O142" s="62"/>
    </row>
    <row r="143" spans="1:15" ht="12" customHeight="1" hidden="1">
      <c r="A143" s="62"/>
      <c r="B143" s="62" t="str">
        <f>IF(Info!$H$13&gt;2.5,"Projected pressing stress",IF(Info!$H$13&gt;1.5,"Lochleibung","İzdüşüm"))</f>
        <v>İzdüşüm</v>
      </c>
      <c r="C143" s="62"/>
      <c r="F143" s="62"/>
      <c r="G143" s="62"/>
      <c r="H143" s="62"/>
      <c r="I143" s="62"/>
      <c r="J143" s="62"/>
      <c r="K143" s="62"/>
      <c r="L143" s="62"/>
      <c r="M143" s="62"/>
      <c r="N143" s="62"/>
      <c r="O143" s="62"/>
    </row>
    <row r="144" spans="1:15" ht="12" customHeight="1" hidden="1">
      <c r="A144" s="62"/>
      <c r="B144" s="62" t="str">
        <f>IF(Info!H13&gt;2.5,"At a minimum necessary flank number",IF(Info!H13&gt;1.5,"Minimal nötige Flankenanzahl","minimum gerekli taşıyıcı diş sayısı"))</f>
        <v>minimum gerekli taşıyıcı diş sayısı</v>
      </c>
      <c r="C144" s="62"/>
      <c r="F144" s="62"/>
      <c r="G144" s="62"/>
      <c r="H144" s="62"/>
      <c r="I144" s="62"/>
      <c r="J144" s="62"/>
      <c r="K144" s="62"/>
      <c r="L144" s="62"/>
      <c r="M144" s="62"/>
      <c r="N144" s="62"/>
      <c r="O144" s="62"/>
    </row>
    <row r="145" spans="1:15" ht="12" customHeight="1" hidden="1">
      <c r="A145" s="62"/>
      <c r="B145" s="62" t="str">
        <f>IF(Info!H13&gt;2.5,"Assembly",IF(Info!H13&gt;1.5,"Montage","Montaj"))</f>
        <v>Montaj</v>
      </c>
      <c r="C145" s="62"/>
      <c r="D145" s="62"/>
      <c r="E145" s="62"/>
      <c r="F145" s="62"/>
      <c r="G145" s="62"/>
      <c r="H145" s="62"/>
      <c r="I145" s="62"/>
      <c r="J145" s="62"/>
      <c r="K145" s="62"/>
      <c r="L145" s="62"/>
      <c r="M145" s="62"/>
      <c r="N145" s="62"/>
      <c r="O145" s="62"/>
    </row>
    <row r="146" spans="1:15" ht="12" customHeight="1" hidden="1">
      <c r="A146" s="62"/>
      <c r="B146" s="62" t="str">
        <f>IF(Info!H13&gt;2.5,"Assembly and Operating",IF(Info!H13&gt;1.5,"Montage und Betrieb","Montaj ve işletme"))</f>
        <v>Montaj ve işletme</v>
      </c>
      <c r="C146" s="62"/>
      <c r="D146" s="62"/>
      <c r="E146" s="62"/>
      <c r="F146" s="62"/>
      <c r="G146" s="62"/>
      <c r="H146" s="62"/>
      <c r="I146" s="62"/>
      <c r="J146" s="62"/>
      <c r="K146" s="62"/>
      <c r="L146" s="62"/>
      <c r="M146" s="62"/>
      <c r="N146" s="62"/>
      <c r="O146" s="62"/>
    </row>
    <row r="147" spans="1:15" ht="12" customHeight="1" hidden="1">
      <c r="A147" s="62"/>
      <c r="B147" s="62" t="str">
        <f>IF(Info!H13&gt;2.5,"Nut",IF(Info!H13&gt;1.5,"Mutter","Somun"))</f>
        <v>Somun</v>
      </c>
      <c r="C147" s="62"/>
      <c r="D147" s="62"/>
      <c r="E147" s="62"/>
      <c r="F147" s="62"/>
      <c r="G147" s="62"/>
      <c r="H147" s="62"/>
      <c r="I147" s="62"/>
      <c r="J147" s="62"/>
      <c r="K147" s="62"/>
      <c r="L147" s="62"/>
      <c r="M147" s="62"/>
      <c r="N147" s="62"/>
      <c r="O147" s="62"/>
    </row>
    <row r="148" spans="1:15" ht="12" customHeight="1" hidden="1">
      <c r="A148" s="62"/>
      <c r="B148" s="62" t="str">
        <f>IF(Info!$H$13&gt;2.5,"Nut rate",IF(Info!$H$13&gt;1.5,"Muttergeschwindigkeit","Somun hareket hızı"))</f>
        <v>Somun hareket hızı</v>
      </c>
      <c r="C148" s="62"/>
      <c r="D148" s="62"/>
      <c r="E148" s="62"/>
      <c r="F148" s="62"/>
      <c r="G148" s="62"/>
      <c r="H148" s="62"/>
      <c r="I148" s="62"/>
      <c r="J148" s="62"/>
      <c r="K148" s="62"/>
      <c r="L148" s="62"/>
      <c r="M148" s="62"/>
      <c r="N148" s="62"/>
      <c r="O148" s="62"/>
    </row>
    <row r="149" spans="1:15" ht="12" customHeight="1" hidden="1">
      <c r="A149" s="62"/>
      <c r="B149" s="62" t="str">
        <f>IF(Info!$H$13&gt;2.5,"For shearing stress",IF(Info!$H$13&gt;1.5,"Nach Abscherung","Kesmeye göre"))</f>
        <v>Kesmeye göre</v>
      </c>
      <c r="C149" s="62"/>
      <c r="D149" s="62"/>
      <c r="E149" s="62"/>
      <c r="F149" s="62"/>
      <c r="G149" s="62"/>
      <c r="H149" s="62"/>
      <c r="I149" s="62"/>
      <c r="J149" s="62"/>
      <c r="K149" s="62"/>
      <c r="L149" s="62"/>
      <c r="M149" s="62"/>
      <c r="N149" s="62"/>
      <c r="O149" s="62"/>
    </row>
    <row r="150" spans="1:15" ht="12" customHeight="1" hidden="1">
      <c r="A150" s="62"/>
      <c r="B150" s="62" t="str">
        <f>IF(Info!$H$13&gt;2.5,"For construction",IF(Info!$H$13&gt;1.5,"Nach Konstruktion","Konstruksiyona göre"))</f>
        <v>Konstruksiyona göre</v>
      </c>
      <c r="C150" s="62"/>
      <c r="D150" s="62"/>
      <c r="E150" s="62"/>
      <c r="F150" s="62"/>
      <c r="G150" s="62"/>
      <c r="H150" s="62"/>
      <c r="I150" s="62"/>
      <c r="J150" s="62"/>
      <c r="K150" s="62"/>
      <c r="L150" s="62"/>
      <c r="M150" s="62"/>
      <c r="N150" s="62"/>
      <c r="O150" s="62"/>
    </row>
    <row r="151" spans="1:15" ht="12" customHeight="1" hidden="1">
      <c r="A151" s="62"/>
      <c r="B151" s="62" t="str">
        <f>IF(Info!$H$13&gt;2.5,"For projected pressing stress",IF(Info!$H$13&gt;1.5,"Nach Lochleibung","İzdüşüme göre"))</f>
        <v>İzdüşüme göre</v>
      </c>
      <c r="C151" s="62"/>
      <c r="D151" s="62"/>
      <c r="E151" s="62"/>
      <c r="F151" s="62"/>
      <c r="G151" s="62"/>
      <c r="H151" s="62"/>
      <c r="I151" s="62"/>
      <c r="J151" s="62"/>
      <c r="K151" s="62"/>
      <c r="L151" s="62"/>
      <c r="M151" s="62"/>
      <c r="N151" s="62"/>
      <c r="O151" s="62"/>
    </row>
    <row r="152" spans="1:15" ht="12" customHeight="1" hidden="1">
      <c r="A152" s="62"/>
      <c r="B152" s="62" t="str">
        <f>IF(Info!H13&gt;2.5,"Nominal size",IF(Info!H13&gt;1.5,"Nenndurchmesser","Anma çapı"))</f>
        <v>Anma çapı</v>
      </c>
      <c r="C152" s="63"/>
      <c r="E152" s="62"/>
      <c r="F152" s="62"/>
      <c r="G152" s="62"/>
      <c r="H152" s="62"/>
      <c r="I152" s="62"/>
      <c r="J152" s="62"/>
      <c r="K152" s="62"/>
      <c r="L152" s="62"/>
      <c r="M152" s="62"/>
      <c r="N152" s="62"/>
      <c r="O152" s="62"/>
    </row>
    <row r="153" spans="1:15" ht="12" customHeight="1" hidden="1">
      <c r="A153" s="62"/>
      <c r="B153" s="62" t="str">
        <f>IF(Info!H13&gt;2.5,"Nominal size of screw",IF(Info!H13&gt;1.5,"Nenndurchmesser der Schraube","Cıvatanın anma çapı"))</f>
        <v>Cıvatanın anma çapı</v>
      </c>
      <c r="C153" s="62"/>
      <c r="D153" s="62"/>
      <c r="E153" s="62"/>
      <c r="F153" s="62"/>
      <c r="H153" s="62"/>
      <c r="I153" s="62"/>
      <c r="J153" s="62"/>
      <c r="K153" s="62"/>
      <c r="L153" s="62"/>
      <c r="M153" s="62"/>
      <c r="N153" s="62"/>
      <c r="O153" s="62"/>
    </row>
    <row r="154" spans="1:15" ht="12" customHeight="1" hidden="1">
      <c r="A154" s="62"/>
      <c r="B154" s="62" t="str">
        <f>IF(Info!H13&gt;2.5,"Rivet",IF(Info!H13&gt;1.5,"Niete","Perçin"))</f>
        <v>Perçin</v>
      </c>
      <c r="C154" s="62"/>
      <c r="D154" s="62"/>
      <c r="E154" s="62"/>
      <c r="F154" s="62"/>
      <c r="H154" s="62"/>
      <c r="I154" s="62"/>
      <c r="J154" s="62"/>
      <c r="K154" s="62"/>
      <c r="L154" s="62"/>
      <c r="M154" s="62"/>
      <c r="N154" s="62"/>
      <c r="O154" s="62"/>
    </row>
    <row r="155" spans="1:15" ht="12" customHeight="1" hidden="1">
      <c r="A155" s="62"/>
      <c r="C155" s="62"/>
      <c r="D155" s="62"/>
      <c r="E155" s="62"/>
      <c r="F155" s="62"/>
      <c r="H155" s="62"/>
      <c r="I155" s="62"/>
      <c r="J155" s="62"/>
      <c r="K155" s="62"/>
      <c r="L155" s="62"/>
      <c r="M155" s="62"/>
      <c r="N155" s="62"/>
      <c r="O155" s="62"/>
    </row>
    <row r="156" spans="1:31" ht="12" customHeight="1" hidden="1">
      <c r="A156" s="62"/>
      <c r="B156" s="62" t="str">
        <f>IF(Info!H13&gt;2.5,"Project:",IF(Info!H13&gt;1.5,"Projekt : ","Proje :"))</f>
        <v>Proje :</v>
      </c>
      <c r="C156" s="62"/>
      <c r="E156" s="62"/>
      <c r="F156" s="62"/>
      <c r="G156" s="62"/>
      <c r="H156" s="62"/>
      <c r="I156" s="62"/>
      <c r="J156" s="62"/>
      <c r="K156" s="62"/>
      <c r="L156" s="62"/>
      <c r="M156" s="62"/>
      <c r="N156" s="62"/>
      <c r="O156" s="62"/>
      <c r="U156" s="45"/>
      <c r="V156" s="45"/>
      <c r="W156" s="45"/>
      <c r="X156" s="45"/>
      <c r="Y156" s="45"/>
      <c r="Z156" s="45"/>
      <c r="AA156" s="45"/>
      <c r="AB156" s="45"/>
      <c r="AC156" s="45"/>
      <c r="AD156" s="45"/>
      <c r="AE156" s="45"/>
    </row>
    <row r="157" spans="1:31" ht="12" customHeight="1" hidden="1">
      <c r="A157" s="62"/>
      <c r="B157" s="62" t="str">
        <f>IF(Info!H13&gt;2.5,"Spot welding",IF(Info!H13&gt;1.5,"Punktschweissen ","Punta kaynak"))</f>
        <v>Punta kaynak</v>
      </c>
      <c r="C157" s="62"/>
      <c r="E157" s="62"/>
      <c r="F157" s="62"/>
      <c r="G157" s="62"/>
      <c r="H157" s="62"/>
      <c r="I157" s="62"/>
      <c r="J157" s="62"/>
      <c r="K157" s="62"/>
      <c r="L157" s="62"/>
      <c r="M157" s="62"/>
      <c r="N157" s="62"/>
      <c r="O157" s="62"/>
      <c r="U157" s="45"/>
      <c r="V157" s="45"/>
      <c r="W157" s="45"/>
      <c r="X157" s="45"/>
      <c r="Y157" s="45"/>
      <c r="Z157" s="45"/>
      <c r="AA157" s="45"/>
      <c r="AB157" s="45"/>
      <c r="AC157" s="45"/>
      <c r="AD157" s="45"/>
      <c r="AE157" s="45"/>
    </row>
    <row r="158" spans="1:31" ht="12" customHeight="1" hidden="1">
      <c r="A158" s="62"/>
      <c r="B158" s="62" t="str">
        <f>IF(Info!H13&gt;2.5,"Crossways force",IF(Info!H13&gt;1.5,"Querkraft","Enine kuvvet"))</f>
        <v>Enine kuvvet</v>
      </c>
      <c r="C158" s="62"/>
      <c r="D158" s="62"/>
      <c r="E158" s="62"/>
      <c r="F158" s="62"/>
      <c r="G158" s="65"/>
      <c r="H158" s="62"/>
      <c r="I158" s="62"/>
      <c r="J158" s="61"/>
      <c r="K158" s="62"/>
      <c r="L158" s="62"/>
      <c r="M158" s="62"/>
      <c r="N158" s="62"/>
      <c r="O158" s="62"/>
      <c r="U158" s="45"/>
      <c r="V158" s="45"/>
      <c r="W158" s="45"/>
      <c r="X158" s="45"/>
      <c r="Y158" s="45"/>
      <c r="Z158" s="45"/>
      <c r="AA158" s="45"/>
      <c r="AB158" s="45"/>
      <c r="AC158" s="45"/>
      <c r="AD158" s="45"/>
      <c r="AE158" s="45"/>
    </row>
    <row r="159" spans="1:31" ht="12" customHeight="1" hidden="1">
      <c r="A159" s="62"/>
      <c r="B159" s="62" t="str">
        <f>IF(Info!H13&gt;2.5,"Methods of calculation:",IF(Info!H13&gt;1.5,"Rechnungsgänge :","Hesap için gereken diğer değerler :"))</f>
        <v>Hesap için gereken diğer değerler :</v>
      </c>
      <c r="C159" s="62"/>
      <c r="D159" s="62"/>
      <c r="E159" s="62"/>
      <c r="F159" s="62"/>
      <c r="G159" s="65"/>
      <c r="H159" s="62"/>
      <c r="I159" s="62"/>
      <c r="J159" s="61"/>
      <c r="K159" s="62"/>
      <c r="L159" s="62"/>
      <c r="M159" s="62"/>
      <c r="N159" s="62"/>
      <c r="O159" s="62"/>
      <c r="U159" s="45"/>
      <c r="V159" s="45"/>
      <c r="W159" s="45"/>
      <c r="X159" s="45"/>
      <c r="Y159" s="45"/>
      <c r="Z159" s="45"/>
      <c r="AA159" s="45"/>
      <c r="AB159" s="45"/>
      <c r="AC159" s="45"/>
      <c r="AD159" s="45"/>
      <c r="AE159" s="45"/>
    </row>
    <row r="160" spans="1:31" ht="12" customHeight="1" hidden="1">
      <c r="A160" s="62"/>
      <c r="B160" s="62" t="str">
        <f>IF(Info!H13&gt;2.5,"reduced Stress during operation ",IF(Info!H13&gt;1.5,"red. Spannung im Betrieb","İşletmede bileşik gerilim"))</f>
        <v>İşletmede bileşik gerilim</v>
      </c>
      <c r="C160" s="62"/>
      <c r="D160" s="62"/>
      <c r="E160" s="62"/>
      <c r="F160" s="62"/>
      <c r="G160" s="65"/>
      <c r="H160" s="62"/>
      <c r="I160" s="62"/>
      <c r="J160" s="61"/>
      <c r="K160" s="62"/>
      <c r="L160" s="62"/>
      <c r="M160" s="62"/>
      <c r="N160" s="62"/>
      <c r="O160" s="62"/>
      <c r="U160" s="45"/>
      <c r="V160" s="45"/>
      <c r="W160" s="45"/>
      <c r="X160" s="45"/>
      <c r="Y160" s="45"/>
      <c r="Z160" s="45"/>
      <c r="AA160" s="45"/>
      <c r="AB160" s="45"/>
      <c r="AC160" s="45"/>
      <c r="AD160" s="45"/>
      <c r="AE160" s="45"/>
    </row>
    <row r="161" spans="1:31" ht="12" customHeight="1" hidden="1">
      <c r="A161" s="62"/>
      <c r="B161" s="62" t="str">
        <f>IF(Info!H13&gt;2.5,"Coefficient of friction",IF(Info!H13&gt;1.5,"Reibbeiwert der Fuge","Sürtünme katsayısı"))</f>
        <v>Sürtünme katsayısı</v>
      </c>
      <c r="C161" s="62"/>
      <c r="D161" s="62"/>
      <c r="F161" s="62"/>
      <c r="G161" s="65"/>
      <c r="H161" s="62"/>
      <c r="I161" s="62"/>
      <c r="J161" s="61"/>
      <c r="K161" s="62"/>
      <c r="L161" s="62"/>
      <c r="M161" s="62"/>
      <c r="N161" s="62"/>
      <c r="O161" s="62"/>
      <c r="U161" s="29"/>
      <c r="V161" s="29"/>
      <c r="W161" s="29"/>
      <c r="X161" s="29"/>
      <c r="Y161" s="29"/>
      <c r="Z161" s="29"/>
      <c r="AA161" s="29"/>
      <c r="AB161" s="29"/>
      <c r="AC161" s="29"/>
      <c r="AD161" s="29"/>
      <c r="AE161" s="29"/>
    </row>
    <row r="162" spans="1:31" ht="12" customHeight="1" hidden="1">
      <c r="A162" s="62"/>
      <c r="B162" s="62" t="str">
        <f>IF(Info!$H$13&gt;2.5,"Friction numbers",IF(Info!$H$13&gt;1.5,"Reibungszahl","Sürtünme katsayısı"))</f>
        <v>Sürtünme katsayısı</v>
      </c>
      <c r="C162" s="62"/>
      <c r="D162" s="62"/>
      <c r="F162" s="62"/>
      <c r="G162" s="65"/>
      <c r="H162" s="62"/>
      <c r="I162" s="62"/>
      <c r="J162" s="61"/>
      <c r="K162" s="62"/>
      <c r="L162" s="62"/>
      <c r="M162" s="62"/>
      <c r="N162" s="62"/>
      <c r="O162" s="62"/>
      <c r="U162" s="29"/>
      <c r="V162" s="29"/>
      <c r="W162" s="29"/>
      <c r="X162" s="29"/>
      <c r="Y162" s="29"/>
      <c r="Z162" s="29"/>
      <c r="AA162" s="29"/>
      <c r="AB162" s="29"/>
      <c r="AC162" s="29"/>
      <c r="AD162" s="29"/>
      <c r="AE162" s="29"/>
    </row>
    <row r="163" spans="1:31" ht="12" customHeight="1" hidden="1">
      <c r="A163" s="62"/>
      <c r="B163" s="62" t="str">
        <f>IF(Info!H13&gt;2.5,"Friction values and friction angle :",IF(Info!H13&gt;1.5,"Reibungszahlen und -Winkel :","Sürtünme katsayıları ve açıları :"))</f>
        <v>Sürtünme katsayıları ve açıları :</v>
      </c>
      <c r="C163" s="62"/>
      <c r="D163" s="62"/>
      <c r="E163" s="62"/>
      <c r="F163" s="62"/>
      <c r="G163" s="62"/>
      <c r="H163" s="62"/>
      <c r="I163" s="62"/>
      <c r="J163" s="61"/>
      <c r="K163" s="62"/>
      <c r="L163" s="62"/>
      <c r="M163" s="62"/>
      <c r="N163" s="62"/>
      <c r="O163" s="62"/>
      <c r="U163" s="29"/>
      <c r="V163" s="29"/>
      <c r="W163" s="29"/>
      <c r="X163" s="29"/>
      <c r="Y163" s="29"/>
      <c r="Z163" s="29"/>
      <c r="AA163" s="29"/>
      <c r="AB163" s="29"/>
      <c r="AC163" s="29"/>
      <c r="AD163" s="29"/>
      <c r="AE163" s="29"/>
    </row>
    <row r="164" spans="1:31" ht="12" customHeight="1" hidden="1">
      <c r="A164" s="62"/>
      <c r="B164" s="62" t="str">
        <f>IF(Info!$H$13&gt;2.5,"Rounding lid = 2",IF(Info!$H$13&gt;1.5,"Runddeckel = 2 ","Yuvarlak kapak = 2"))</f>
        <v>Yuvarlak kapak = 2</v>
      </c>
      <c r="C164" s="62"/>
      <c r="D164" s="62"/>
      <c r="E164" s="62"/>
      <c r="F164" s="62"/>
      <c r="G164" s="62"/>
      <c r="H164" s="62"/>
      <c r="I164" s="62"/>
      <c r="J164" s="61"/>
      <c r="K164" s="62"/>
      <c r="L164" s="62"/>
      <c r="M164" s="62"/>
      <c r="N164" s="62"/>
      <c r="O164" s="62"/>
      <c r="U164" s="29"/>
      <c r="V164" s="29"/>
      <c r="W164" s="29"/>
      <c r="X164" s="29"/>
      <c r="Y164" s="29"/>
      <c r="Z164" s="29"/>
      <c r="AA164" s="29"/>
      <c r="AB164" s="29"/>
      <c r="AC164" s="29"/>
      <c r="AD164" s="29"/>
      <c r="AE164" s="29"/>
    </row>
    <row r="165" spans="1:31" ht="12" customHeight="1" hidden="1">
      <c r="A165" s="62"/>
      <c r="B165" s="62" t="str">
        <f>IF(Info!H13&gt;2.5,"Bolt diameter",IF(Info!H13&gt;1.5,"Schaftdurchmesser","Şaft çapı"))</f>
        <v>Şaft çapı</v>
      </c>
      <c r="C165" s="62"/>
      <c r="D165" s="62"/>
      <c r="F165" s="62"/>
      <c r="G165" s="62"/>
      <c r="H165" s="62"/>
      <c r="I165" s="62"/>
      <c r="J165" s="61"/>
      <c r="K165" s="62"/>
      <c r="L165" s="62"/>
      <c r="M165" s="62"/>
      <c r="N165" s="62"/>
      <c r="O165" s="62"/>
      <c r="U165" s="29"/>
      <c r="V165" s="29"/>
      <c r="W165" s="29"/>
      <c r="X165" s="29"/>
      <c r="Y165" s="29"/>
      <c r="Z165" s="29"/>
      <c r="AA165" s="29"/>
      <c r="AB165" s="29"/>
      <c r="AC165" s="29"/>
      <c r="AD165" s="29"/>
      <c r="AE165" s="29"/>
    </row>
    <row r="166" spans="1:31" ht="12" customHeight="1" hidden="1">
      <c r="A166" s="62"/>
      <c r="B166" s="62" t="str">
        <f>IF(Info!H13&gt;2.5,"Shaft area",IF(Info!H13&gt;1.5,"Schaftfläche","Şaft alanı"))</f>
        <v>Şaft alanı</v>
      </c>
      <c r="C166" s="62"/>
      <c r="D166" s="62"/>
      <c r="E166" s="62"/>
      <c r="F166" s="62"/>
      <c r="G166" s="62"/>
      <c r="H166" s="62"/>
      <c r="I166" s="62"/>
      <c r="J166" s="61"/>
      <c r="K166" s="62"/>
      <c r="L166" s="62"/>
      <c r="M166" s="62"/>
      <c r="N166" s="62"/>
      <c r="O166" s="62"/>
      <c r="U166" s="29"/>
      <c r="V166" s="29"/>
      <c r="W166" s="29"/>
      <c r="X166" s="29"/>
      <c r="Y166" s="29"/>
      <c r="Z166" s="29"/>
      <c r="AA166" s="29"/>
      <c r="AB166" s="29"/>
      <c r="AC166" s="29"/>
      <c r="AD166" s="29"/>
      <c r="AE166" s="29"/>
    </row>
    <row r="167" spans="1:31" ht="12" customHeight="1" hidden="1">
      <c r="A167" s="62"/>
      <c r="B167" s="62" t="str">
        <f>IF(Info!H13&gt;2.5,"Shaft length",IF(Info!H13&gt;1.5,"Schaftlänge ohne Gewinde","Vidasız şaft boyu"))</f>
        <v>Vidasız şaft boyu</v>
      </c>
      <c r="C167" s="62"/>
      <c r="D167" s="62"/>
      <c r="E167" s="62"/>
      <c r="F167" s="62"/>
      <c r="G167" s="62"/>
      <c r="H167" s="62"/>
      <c r="I167" s="62"/>
      <c r="J167" s="61"/>
      <c r="K167" s="62"/>
      <c r="L167" s="62"/>
      <c r="M167" s="62"/>
      <c r="N167" s="62"/>
      <c r="O167" s="62"/>
      <c r="U167" s="29"/>
      <c r="V167" s="29"/>
      <c r="W167" s="29"/>
      <c r="X167" s="29"/>
      <c r="Y167" s="29"/>
      <c r="Z167" s="29"/>
      <c r="AA167" s="29"/>
      <c r="AB167" s="29"/>
      <c r="AC167" s="29"/>
      <c r="AD167" s="29"/>
      <c r="AE167" s="29"/>
    </row>
    <row r="168" spans="1:31" ht="12" customHeight="1" hidden="1">
      <c r="A168" s="62"/>
      <c r="B168" s="62" t="str">
        <f>IF(Info!H13&gt;2.5,"Shaft length with thread",IF(Info!H13&gt;1.5,"Schaftlänge mit Gewinde","Vidalı şaft boyu"))</f>
        <v>Vidalı şaft boyu</v>
      </c>
      <c r="C168" s="62"/>
      <c r="D168" s="62"/>
      <c r="E168" s="62"/>
      <c r="F168" s="62"/>
      <c r="G168" s="62"/>
      <c r="H168" s="62"/>
      <c r="I168" s="62"/>
      <c r="J168" s="61"/>
      <c r="K168" s="62"/>
      <c r="L168" s="62"/>
      <c r="M168" s="62"/>
      <c r="N168" s="62"/>
      <c r="O168" s="62"/>
      <c r="U168" s="29"/>
      <c r="V168" s="29"/>
      <c r="W168" s="29"/>
      <c r="X168" s="29"/>
      <c r="Y168" s="29"/>
      <c r="Z168" s="29"/>
      <c r="AA168" s="29"/>
      <c r="AB168" s="29"/>
      <c r="AC168" s="29"/>
      <c r="AD168" s="29"/>
      <c r="AE168" s="29"/>
    </row>
    <row r="169" spans="1:31" ht="12" customHeight="1" hidden="1">
      <c r="A169" s="62"/>
      <c r="B169" s="62" t="str">
        <f>IF(Info!H13&gt;2.5,"Cutting width of the nut",IF(Info!H13&gt;1.5,"Scherbreite der Schraubenmutter","Somunun kesme eni"))</f>
        <v>Somunun kesme eni</v>
      </c>
      <c r="C169" s="62"/>
      <c r="D169" s="62"/>
      <c r="E169" s="62"/>
      <c r="F169" s="62"/>
      <c r="G169" s="62"/>
      <c r="H169" s="62"/>
      <c r="I169" s="62"/>
      <c r="J169" s="61"/>
      <c r="K169" s="62"/>
      <c r="L169" s="62"/>
      <c r="M169" s="62"/>
      <c r="N169" s="62"/>
      <c r="O169" s="62"/>
      <c r="U169" s="29"/>
      <c r="V169" s="29"/>
      <c r="W169" s="29"/>
      <c r="X169" s="29"/>
      <c r="Y169" s="29"/>
      <c r="Z169" s="29"/>
      <c r="AA169" s="29"/>
      <c r="AB169" s="29"/>
      <c r="AC169" s="29"/>
      <c r="AD169" s="29"/>
      <c r="AE169" s="29"/>
    </row>
    <row r="170" spans="1:31" ht="12" customHeight="1" hidden="1">
      <c r="A170" s="62"/>
      <c r="B170" s="62" t="str">
        <f>IF(Info!H13&gt;2.5,"Cutting width of the screw thread",IF(Info!H13&gt;1.5,"Scherbreite des Schraubengewindes","Cıvata vidasının kesme eni"))</f>
        <v>Cıvata vidasının kesme eni</v>
      </c>
      <c r="C170" s="62"/>
      <c r="D170" s="62"/>
      <c r="E170" s="62"/>
      <c r="F170" s="62"/>
      <c r="G170" s="62"/>
      <c r="H170" s="62"/>
      <c r="I170" s="62"/>
      <c r="J170" s="61"/>
      <c r="K170" s="62"/>
      <c r="L170" s="62"/>
      <c r="M170" s="62"/>
      <c r="N170" s="62"/>
      <c r="O170" s="62"/>
      <c r="U170" s="29"/>
      <c r="V170" s="29"/>
      <c r="W170" s="29"/>
      <c r="X170" s="29"/>
      <c r="Y170" s="29"/>
      <c r="Z170" s="29"/>
      <c r="AA170" s="29"/>
      <c r="AB170" s="29"/>
      <c r="AC170" s="29"/>
      <c r="AD170" s="29"/>
      <c r="AE170" s="29"/>
    </row>
    <row r="171" spans="1:31" ht="12" customHeight="1" hidden="1">
      <c r="A171" s="62"/>
      <c r="B171" s="62" t="str">
        <f>IF(Info!H13&gt;2.5,"Cutting diameter of the nut thread",IF(Info!H13&gt;1.5,"Scherdurchmesser des Muttergewindes","Somun vidasının kesme çapı"))</f>
        <v>Somun vidasının kesme çapı</v>
      </c>
      <c r="C171" s="62"/>
      <c r="D171" s="62"/>
      <c r="E171" s="62"/>
      <c r="F171" s="62"/>
      <c r="G171" s="62"/>
      <c r="H171" s="62"/>
      <c r="I171" s="62"/>
      <c r="J171" s="61"/>
      <c r="K171" s="62"/>
      <c r="L171" s="62"/>
      <c r="M171" s="62"/>
      <c r="N171" s="62"/>
      <c r="O171" s="62"/>
      <c r="U171" s="29"/>
      <c r="V171" s="29"/>
      <c r="W171" s="29"/>
      <c r="X171" s="29"/>
      <c r="Y171" s="29"/>
      <c r="Z171" s="29"/>
      <c r="AA171" s="29"/>
      <c r="AB171" s="29"/>
      <c r="AC171" s="29"/>
      <c r="AD171" s="29"/>
      <c r="AE171" s="29"/>
    </row>
    <row r="172" spans="1:31" ht="12" customHeight="1" hidden="1">
      <c r="A172" s="62"/>
      <c r="B172" s="62" t="str">
        <f>IF(Info!H13&gt;2.5,"Cutting diameter of the screw thread",IF(Info!H13&gt;1.5,"Scherdurchmesser des Schraubengewindes","Cıvata vidasının kesme çapı"))</f>
        <v>Cıvata vidasının kesme çapı</v>
      </c>
      <c r="C172" s="62"/>
      <c r="D172" s="62"/>
      <c r="E172" s="62"/>
      <c r="F172" s="62"/>
      <c r="G172" s="62"/>
      <c r="H172" s="62"/>
      <c r="I172" s="62"/>
      <c r="J172" s="61"/>
      <c r="K172" s="62"/>
      <c r="L172" s="62"/>
      <c r="M172" s="62"/>
      <c r="N172" s="62"/>
      <c r="O172" s="62"/>
      <c r="U172" s="29"/>
      <c r="V172" s="29"/>
      <c r="W172" s="29"/>
      <c r="X172" s="29"/>
      <c r="Y172" s="29"/>
      <c r="Z172" s="29"/>
      <c r="AA172" s="29"/>
      <c r="AB172" s="29"/>
      <c r="AC172" s="29"/>
      <c r="AD172" s="29"/>
      <c r="AE172" s="29"/>
    </row>
    <row r="173" spans="1:31" ht="12" customHeight="1" hidden="1">
      <c r="A173" s="62"/>
      <c r="B173" s="62" t="str">
        <f>IF(Info!H13&gt;2.5,"Cutting face at the thread",IF(Info!H13&gt;1.5,"Scherfläche beim Gewinde","Vidanın kesme alanı"))</f>
        <v>Vidanın kesme alanı</v>
      </c>
      <c r="C173" s="62"/>
      <c r="D173" s="62"/>
      <c r="E173" s="62"/>
      <c r="F173" s="62"/>
      <c r="G173" s="62"/>
      <c r="H173" s="62"/>
      <c r="I173" s="62"/>
      <c r="J173" s="61"/>
      <c r="K173" s="62"/>
      <c r="L173" s="62"/>
      <c r="M173" s="62"/>
      <c r="N173" s="62"/>
      <c r="O173" s="62"/>
      <c r="U173" s="29"/>
      <c r="V173" s="29"/>
      <c r="W173" s="29"/>
      <c r="X173" s="29"/>
      <c r="Y173" s="29"/>
      <c r="Z173" s="29"/>
      <c r="AA173" s="29"/>
      <c r="AB173" s="29"/>
      <c r="AC173" s="29"/>
      <c r="AD173" s="29"/>
      <c r="AE173" s="29"/>
    </row>
    <row r="174" spans="1:31" ht="12" customHeight="1" hidden="1">
      <c r="A174" s="62"/>
      <c r="B174" s="62" t="str">
        <f>IF(Info!H13&gt;2.5,"Cutting face at the nut",IF(Info!H13&gt;1.5,"Scherfläche bei der Schraubenmutter","Somunun kesme alanı"))</f>
        <v>Somunun kesme alanı</v>
      </c>
      <c r="C174" s="62"/>
      <c r="D174" s="62"/>
      <c r="E174" s="62"/>
      <c r="F174" s="62"/>
      <c r="G174" s="62"/>
      <c r="H174" s="62"/>
      <c r="I174" s="62"/>
      <c r="J174" s="61"/>
      <c r="K174" s="62"/>
      <c r="L174" s="62"/>
      <c r="M174" s="62"/>
      <c r="N174" s="62"/>
      <c r="O174" s="62"/>
      <c r="U174" s="29"/>
      <c r="V174" s="29"/>
      <c r="W174" s="29"/>
      <c r="X174" s="29"/>
      <c r="Y174" s="29"/>
      <c r="Z174" s="29"/>
      <c r="AA174" s="29"/>
      <c r="AB174" s="29"/>
      <c r="AC174" s="29"/>
      <c r="AD174" s="29"/>
      <c r="AE174" s="29"/>
    </row>
    <row r="175" spans="1:31" ht="12" customHeight="1" hidden="1">
      <c r="A175" s="62"/>
      <c r="B175" s="62" t="str">
        <f>IF(Info!$H$13&gt;2.5,"Slendernes ratio",IF(Info!$H$13&gt;1.5,"Schlankheitsgrad","Narinlik derecesi"))</f>
        <v>Narinlik derecesi</v>
      </c>
      <c r="C175" s="62"/>
      <c r="D175" s="62"/>
      <c r="E175" s="62"/>
      <c r="F175" s="62"/>
      <c r="G175" s="62"/>
      <c r="H175" s="62"/>
      <c r="I175" s="62"/>
      <c r="J175" s="61"/>
      <c r="K175" s="62"/>
      <c r="L175" s="62"/>
      <c r="M175" s="62"/>
      <c r="N175" s="62"/>
      <c r="O175" s="62"/>
      <c r="U175" s="29"/>
      <c r="V175" s="29"/>
      <c r="W175" s="29"/>
      <c r="X175" s="29"/>
      <c r="Y175" s="29"/>
      <c r="Z175" s="29"/>
      <c r="AA175" s="29"/>
      <c r="AB175" s="29"/>
      <c r="AC175" s="29"/>
      <c r="AD175" s="29"/>
      <c r="AE175" s="29"/>
    </row>
    <row r="176" spans="1:31" ht="12" customHeight="1" hidden="1">
      <c r="A176" s="62"/>
      <c r="B176" s="62" t="str">
        <f>IF(Info!$H$13&gt;2.5,"Width across flats",IF(Info!$H$13&gt;1.5,"Schlüsselweite ","Anahtar ağızı"))</f>
        <v>Anahtar ağızı</v>
      </c>
      <c r="C176" s="62"/>
      <c r="D176" s="62"/>
      <c r="E176" s="62"/>
      <c r="F176" s="62"/>
      <c r="G176" s="62"/>
      <c r="H176" s="62"/>
      <c r="I176" s="62"/>
      <c r="J176" s="61"/>
      <c r="K176" s="62"/>
      <c r="L176" s="62"/>
      <c r="M176" s="62"/>
      <c r="N176" s="62"/>
      <c r="O176" s="62"/>
      <c r="U176" s="29"/>
      <c r="V176" s="29"/>
      <c r="W176" s="29"/>
      <c r="X176" s="29"/>
      <c r="Y176" s="29"/>
      <c r="Z176" s="29"/>
      <c r="AA176" s="29"/>
      <c r="AB176" s="29"/>
      <c r="AC176" s="29"/>
      <c r="AD176" s="29"/>
      <c r="AE176" s="29"/>
    </row>
    <row r="177" spans="1:31" ht="12" customHeight="1" hidden="1">
      <c r="A177" s="62"/>
      <c r="B177" s="62" t="str">
        <f>IF(Info!H13&gt;2.5,"max. screw force",IF(Info!H13&gt;1.5,"max. Schraubenkraft","max. Cıvata kuvveti"))</f>
        <v>max. Cıvata kuvveti</v>
      </c>
      <c r="C177" s="62"/>
      <c r="D177" s="62"/>
      <c r="E177" s="62"/>
      <c r="F177" s="62"/>
      <c r="G177" s="62"/>
      <c r="H177" s="62"/>
      <c r="I177" s="62"/>
      <c r="J177" s="61"/>
      <c r="K177" s="62"/>
      <c r="L177" s="62"/>
      <c r="M177" s="62"/>
      <c r="N177" s="62"/>
      <c r="O177" s="62"/>
      <c r="U177" s="29"/>
      <c r="V177" s="29"/>
      <c r="W177" s="29"/>
      <c r="X177" s="29"/>
      <c r="Y177" s="29"/>
      <c r="Z177" s="29"/>
      <c r="AA177" s="29"/>
      <c r="AB177" s="29"/>
      <c r="AC177" s="29"/>
      <c r="AD177" s="29"/>
      <c r="AE177" s="29"/>
    </row>
    <row r="178" spans="1:31" ht="12" customHeight="1" hidden="1">
      <c r="A178" s="62"/>
      <c r="B178" s="62" t="str">
        <f>IF(Info!$H$13&gt;2.5,"Cut number",IF(Info!$H$13&gt;1.5,"Schnittigkeit","Kesit sayısı"))</f>
        <v>Kesit sayısı</v>
      </c>
      <c r="C178" s="62"/>
      <c r="D178" s="62"/>
      <c r="E178" s="62"/>
      <c r="F178" s="62"/>
      <c r="G178" s="62"/>
      <c r="H178" s="62"/>
      <c r="I178" s="62"/>
      <c r="J178" s="61"/>
      <c r="K178" s="62"/>
      <c r="L178" s="62"/>
      <c r="M178" s="62"/>
      <c r="N178" s="62"/>
      <c r="O178" s="62"/>
      <c r="U178" s="29"/>
      <c r="V178" s="29"/>
      <c r="W178" s="29"/>
      <c r="X178" s="29"/>
      <c r="Y178" s="29"/>
      <c r="Z178" s="29"/>
      <c r="AA178" s="29"/>
      <c r="AB178" s="29"/>
      <c r="AC178" s="29"/>
      <c r="AD178" s="29"/>
      <c r="AE178" s="29"/>
    </row>
    <row r="179" spans="1:31" ht="12" customHeight="1" hidden="1">
      <c r="A179" s="62"/>
      <c r="B179" s="62" t="str">
        <f>IF(Info!H13&gt;2.5,"Screw",IF(Info!H13&gt;1.5,"Schraube","Cıvata"))</f>
        <v>Cıvata</v>
      </c>
      <c r="C179" s="62"/>
      <c r="D179" s="62"/>
      <c r="E179" s="62"/>
      <c r="F179" s="62"/>
      <c r="G179" s="62"/>
      <c r="H179" s="62"/>
      <c r="I179" s="62"/>
      <c r="J179" s="61"/>
      <c r="K179" s="62"/>
      <c r="L179" s="62"/>
      <c r="M179" s="62"/>
      <c r="N179" s="62"/>
      <c r="O179" s="62"/>
      <c r="U179" s="29"/>
      <c r="V179" s="29"/>
      <c r="W179" s="29"/>
      <c r="X179" s="29"/>
      <c r="Y179" s="29"/>
      <c r="Z179" s="29"/>
      <c r="AA179" s="29"/>
      <c r="AB179" s="29"/>
      <c r="AC179" s="29"/>
      <c r="AD179" s="29"/>
      <c r="AE179" s="29"/>
    </row>
    <row r="180" spans="1:31" ht="12" customHeight="1" hidden="1">
      <c r="A180" s="62"/>
      <c r="B180" s="62" t="str">
        <f>IF(Info!$H$13&gt;2.5,"Screw number",IF(Info!$H$13&gt;1.5,"Schraubenanzahl","Cıvata sayısı"))</f>
        <v>Cıvata sayısı</v>
      </c>
      <c r="C180" s="62"/>
      <c r="D180" s="62"/>
      <c r="E180" s="62"/>
      <c r="F180" s="62"/>
      <c r="G180" s="62"/>
      <c r="H180" s="62"/>
      <c r="I180" s="62"/>
      <c r="J180" s="61"/>
      <c r="K180" s="62"/>
      <c r="L180" s="62"/>
      <c r="M180" s="62"/>
      <c r="N180" s="62"/>
      <c r="O180" s="62"/>
      <c r="U180" s="29"/>
      <c r="V180" s="29"/>
      <c r="W180" s="29"/>
      <c r="X180" s="29"/>
      <c r="Y180" s="29"/>
      <c r="Z180" s="29"/>
      <c r="AA180" s="29"/>
      <c r="AB180" s="29"/>
      <c r="AC180" s="29"/>
      <c r="AD180" s="29"/>
      <c r="AE180" s="29"/>
    </row>
    <row r="181" spans="1:31" ht="12" customHeight="1" hidden="1">
      <c r="A181" s="62"/>
      <c r="B181" s="62" t="str">
        <f>IF(Info!$H$13&gt;2.5,"Screw length",IF(Info!$H$13&gt;1.5,"Schraubenlänge","Civatanın boyu"))</f>
        <v>Civatanın boyu</v>
      </c>
      <c r="C181" s="62"/>
      <c r="E181" s="62"/>
      <c r="F181" s="62"/>
      <c r="G181" s="62"/>
      <c r="H181" s="62"/>
      <c r="I181" s="62"/>
      <c r="J181" s="61"/>
      <c r="K181" s="62"/>
      <c r="L181" s="62"/>
      <c r="M181" s="62"/>
      <c r="N181" s="62"/>
      <c r="O181" s="62"/>
      <c r="U181" s="29"/>
      <c r="V181" s="29"/>
      <c r="W181" s="29"/>
      <c r="X181" s="29"/>
      <c r="Y181" s="29"/>
      <c r="Z181" s="29"/>
      <c r="AA181" s="29"/>
      <c r="AB181" s="29"/>
      <c r="AC181" s="29"/>
      <c r="AD181" s="29"/>
      <c r="AE181" s="29"/>
    </row>
    <row r="182" spans="1:31" ht="12" customHeight="1" hidden="1">
      <c r="A182" s="62"/>
      <c r="B182" s="62" t="str">
        <f>IF(Info!H13&gt;2.5,"screw flexibility",IF(Info!H13&gt;1.5,"Schrauben Nachgiebigkeit","Cıvata elastik esnekliği"))</f>
        <v>Cıvata elastik esnekliği</v>
      </c>
      <c r="C182" s="62"/>
      <c r="D182" s="62"/>
      <c r="E182" s="62"/>
      <c r="F182" s="62"/>
      <c r="G182" s="62"/>
      <c r="H182" s="62"/>
      <c r="I182" s="62"/>
      <c r="J182" s="61"/>
      <c r="K182" s="62"/>
      <c r="L182" s="62"/>
      <c r="M182" s="62"/>
      <c r="N182" s="62"/>
      <c r="O182" s="62"/>
      <c r="U182" s="29"/>
      <c r="V182" s="29"/>
      <c r="W182" s="29"/>
      <c r="X182" s="29"/>
      <c r="Y182" s="29"/>
      <c r="Z182" s="29"/>
      <c r="AA182" s="29"/>
      <c r="AB182" s="29"/>
      <c r="AC182" s="29"/>
      <c r="AD182" s="29"/>
      <c r="AE182" s="29"/>
    </row>
    <row r="183" spans="1:31" ht="12" customHeight="1" hidden="1">
      <c r="A183" s="62"/>
      <c r="B183" s="62" t="str">
        <f>IF(Info!H13&gt;2.5,"Screw quality",IF(Info!H13&gt;1.5,"Schraubenqualität","Cıvatanın kalitesi"))</f>
        <v>Cıvatanın kalitesi</v>
      </c>
      <c r="C183" s="63"/>
      <c r="E183" s="62"/>
      <c r="F183" s="62"/>
      <c r="G183" s="62"/>
      <c r="H183" s="62"/>
      <c r="I183" s="62"/>
      <c r="J183" s="61"/>
      <c r="K183" s="62"/>
      <c r="L183" s="63"/>
      <c r="M183" s="62"/>
      <c r="N183" s="62"/>
      <c r="O183" s="62"/>
      <c r="T183" s="29"/>
      <c r="U183" s="29"/>
      <c r="V183" s="29"/>
      <c r="W183" s="29"/>
      <c r="X183" s="29"/>
      <c r="Y183" s="29"/>
      <c r="Z183" s="29"/>
      <c r="AA183" s="29"/>
      <c r="AB183" s="29"/>
      <c r="AC183" s="29"/>
      <c r="AD183" s="29"/>
      <c r="AE183" s="29"/>
    </row>
    <row r="184" spans="1:15" ht="12" customHeight="1" hidden="1">
      <c r="A184" s="62"/>
      <c r="B184" s="66" t="str">
        <f>IF(Info!$H$13&gt;2.5,"Screw, Thread and design data",IF(Info!$H$13&gt;1.5,"Schraube-, Gewinde- und Konstruktionsdaten :","Cıvata, Vida ve Konstruksiyon değerleri :"))</f>
        <v>Cıvata, Vida ve Konstruksiyon değerleri :</v>
      </c>
      <c r="C184" s="62"/>
      <c r="D184" s="62"/>
      <c r="E184" s="62"/>
      <c r="F184" s="62"/>
      <c r="G184" s="62"/>
      <c r="H184" s="62"/>
      <c r="I184" s="62"/>
      <c r="J184" s="62"/>
      <c r="K184" s="62"/>
      <c r="L184" s="62"/>
      <c r="M184" s="62"/>
      <c r="N184" s="62"/>
      <c r="O184" s="62"/>
    </row>
    <row r="185" spans="1:15" ht="12" customHeight="1" hidden="1">
      <c r="A185" s="62"/>
      <c r="B185" s="62" t="str">
        <f>IF(Info!H13&gt;2.5,"Screw choice is functional",IF(Info!H13&gt;1.5,"Schraubenwahl in Ordnung.","Cıvata seçimi doğru. Hassas kontrolünü yapabilirsiniz."))</f>
        <v>Cıvata seçimi doğru. Hassas kontrolünü yapabilirsiniz.</v>
      </c>
      <c r="C185" s="63"/>
      <c r="D185" s="62"/>
      <c r="E185" s="62"/>
      <c r="F185" s="62"/>
      <c r="G185" s="62"/>
      <c r="H185" s="62"/>
      <c r="I185" s="62"/>
      <c r="J185" s="62"/>
      <c r="K185" s="62"/>
      <c r="L185" s="62"/>
      <c r="M185" s="62"/>
      <c r="N185" s="62"/>
      <c r="O185" s="62"/>
    </row>
    <row r="186" spans="1:15" ht="12" customHeight="1" hidden="1">
      <c r="A186" s="62"/>
      <c r="B186" s="62" t="str">
        <f>IF(Info!H13&gt;2.5,"Screw choice is not functional",IF(Info!H13&gt;1.5,"Schraubenwahl ist nicht in Ordnung","Cıvata seçimi yanlış. Bir büyük boyla tekrar hesaplayınız."))</f>
        <v>Cıvata seçimi yanlış. Bir büyük boyla tekrar hesaplayınız.</v>
      </c>
      <c r="C186" s="62"/>
      <c r="D186" s="62"/>
      <c r="E186" s="62"/>
      <c r="F186" s="62"/>
      <c r="G186" s="62"/>
      <c r="H186" s="62"/>
      <c r="I186" s="62"/>
      <c r="J186" s="62"/>
      <c r="K186" s="62"/>
      <c r="L186" s="62"/>
      <c r="M186" s="62"/>
      <c r="N186" s="62"/>
      <c r="O186" s="62"/>
    </row>
    <row r="187" spans="1:15" ht="12" customHeight="1" hidden="1">
      <c r="A187" s="62"/>
      <c r="B187" s="62" t="str">
        <f>IF(Info!H13&gt;2.5,"Additional force of screw ",IF(Info!H13&gt;1.5,"Schraubenzusatzkraft","Cıvata ek kuvveti"))</f>
        <v>Cıvata ek kuvveti</v>
      </c>
      <c r="C187" s="62"/>
      <c r="D187" s="62"/>
      <c r="E187" s="62"/>
      <c r="F187" s="62"/>
      <c r="G187" s="62"/>
      <c r="H187" s="62"/>
      <c r="I187" s="62"/>
      <c r="J187" s="62"/>
      <c r="K187" s="62"/>
      <c r="L187" s="62"/>
      <c r="M187" s="62"/>
      <c r="N187" s="62"/>
      <c r="O187" s="62"/>
    </row>
    <row r="188" spans="1:15" ht="12" customHeight="1" hidden="1">
      <c r="A188" s="62"/>
      <c r="B188" s="62" t="str">
        <f>IF(Info!H13&gt;2.5,"Side shift",IF(Info!H13&gt;1.5,"seitliche Verschiebung","Enine kayma"))</f>
        <v>Enine kayma</v>
      </c>
      <c r="C188" s="62"/>
      <c r="D188" s="62"/>
      <c r="F188" s="62"/>
      <c r="G188" s="62"/>
      <c r="H188" s="62"/>
      <c r="I188" s="62"/>
      <c r="J188" s="62"/>
      <c r="K188" s="62"/>
      <c r="L188" s="62"/>
      <c r="M188" s="62"/>
      <c r="N188" s="62"/>
      <c r="O188" s="62"/>
    </row>
    <row r="189" spans="1:15" ht="12" customHeight="1" hidden="1">
      <c r="A189" s="62"/>
      <c r="B189" s="62" t="str">
        <f>IF(Info!H13&gt;2.5,"Intrusion of the part ",IF(Info!H13&gt;1.5,"Setzbetrag","Oturma değeri"))</f>
        <v>Oturma değeri</v>
      </c>
      <c r="C189" s="62"/>
      <c r="D189" s="62"/>
      <c r="E189" s="62"/>
      <c r="F189" s="62"/>
      <c r="G189" s="62"/>
      <c r="H189" s="62"/>
      <c r="I189" s="62"/>
      <c r="J189" s="62"/>
      <c r="K189" s="62"/>
      <c r="L189" s="62"/>
      <c r="M189" s="62"/>
      <c r="N189" s="62"/>
      <c r="O189" s="62"/>
    </row>
    <row r="190" spans="1:15" ht="12" customHeight="1" hidden="1">
      <c r="A190" s="62"/>
      <c r="B190" s="62" t="str">
        <f>IF(Info!H13&gt;2.5,"Force of partsintrusion",IF(Info!H13&gt;1.5,"Setzbetrag-Kraft","Oturma kuvveti"))</f>
        <v>Oturma kuvveti</v>
      </c>
      <c r="C190" s="62"/>
      <c r="D190" s="62"/>
      <c r="E190" s="62"/>
      <c r="F190" s="62"/>
      <c r="G190" s="62"/>
      <c r="H190" s="62"/>
      <c r="I190" s="62"/>
      <c r="J190" s="62"/>
      <c r="K190" s="62"/>
      <c r="L190" s="62"/>
      <c r="M190" s="62"/>
      <c r="N190" s="62"/>
      <c r="O190" s="62"/>
    </row>
    <row r="191" spans="1:15" ht="12" customHeight="1" hidden="1">
      <c r="A191" s="62"/>
      <c r="B191" s="62" t="str">
        <f>IF(Info!H13&gt;2.5,"Safety in the operating",IF(Info!H13&gt;1.5,"Sicherheit im Betrieb","İşletmedeki emniyet"))</f>
        <v>İşletmedeki emniyet</v>
      </c>
      <c r="C191" s="62"/>
      <c r="D191" s="62"/>
      <c r="E191" s="62"/>
      <c r="F191" s="62"/>
      <c r="G191" s="62"/>
      <c r="H191" s="62"/>
      <c r="I191" s="62"/>
      <c r="J191" s="62"/>
      <c r="K191" s="62"/>
      <c r="L191" s="62"/>
      <c r="M191" s="62"/>
      <c r="N191" s="62"/>
      <c r="O191" s="62"/>
    </row>
    <row r="192" spans="1:15" ht="12" customHeight="1" hidden="1">
      <c r="A192" s="62"/>
      <c r="B192" s="62" t="str">
        <f>IF(Info!$H$13&gt;2.5,"Safety factor",IF(Info!$H$13&gt;1.5,"Sicherheitsfaktor","Emniyet katsayısı"))</f>
        <v>Emniyet katsayısı</v>
      </c>
      <c r="C192" s="62"/>
      <c r="D192" s="62"/>
      <c r="E192" s="62"/>
      <c r="F192" s="62"/>
      <c r="G192" s="62"/>
      <c r="H192" s="62"/>
      <c r="I192" s="62"/>
      <c r="J192" s="62"/>
      <c r="K192" s="62"/>
      <c r="L192" s="62"/>
      <c r="M192" s="62"/>
      <c r="N192" s="62"/>
      <c r="O192" s="62"/>
    </row>
    <row r="193" spans="1:15" ht="12" customHeight="1" hidden="1">
      <c r="A193" s="62"/>
      <c r="B193" s="62" t="str">
        <f>IF(Info!$H$13&gt;2.5,"Stress during the assembly   ",IF(Info!$H$13&gt;1.5,"Spannung bei der Montage","Montajda bileşik gerilim"))</f>
        <v>Montajda bileşik gerilim</v>
      </c>
      <c r="C193" s="62"/>
      <c r="D193" s="62"/>
      <c r="F193" s="62"/>
      <c r="G193" s="62"/>
      <c r="H193" s="62"/>
      <c r="I193" s="62"/>
      <c r="J193" s="62"/>
      <c r="K193" s="62"/>
      <c r="L193" s="62"/>
      <c r="M193" s="62"/>
      <c r="N193" s="62"/>
      <c r="O193" s="62"/>
    </row>
    <row r="194" spans="1:15" ht="12" customHeight="1" hidden="1">
      <c r="A194" s="62"/>
      <c r="B194" s="62" t="str">
        <f>IF(Info!H13&gt;2.5,"Tension during the the operated ",IF(Info!H13&gt;1.5,"Spannungen im Betrieb","İşletmedeki gerilimler"))</f>
        <v>İşletmedeki gerilimler</v>
      </c>
      <c r="C194" s="62"/>
      <c r="D194" s="62"/>
      <c r="F194" s="62"/>
      <c r="G194" s="62"/>
      <c r="H194" s="62"/>
      <c r="I194" s="62"/>
      <c r="J194" s="62"/>
      <c r="K194" s="62"/>
      <c r="L194" s="62"/>
      <c r="M194" s="62"/>
      <c r="N194" s="62"/>
      <c r="O194" s="62"/>
    </row>
    <row r="195" spans="1:15" ht="12" customHeight="1" hidden="1">
      <c r="A195" s="62"/>
      <c r="B195" s="62" t="str">
        <f>IF(Info!H13&gt;2.5,"Diameter at stress ",IF(Info!H13&gt;1.5,"Spannungsdurchmesser","Gerilim çapı"))</f>
        <v>Gerilim çapı</v>
      </c>
      <c r="C195" s="62"/>
      <c r="D195" s="62"/>
      <c r="F195" s="62"/>
      <c r="G195" s="62"/>
      <c r="H195" s="62"/>
      <c r="I195" s="62"/>
      <c r="J195" s="62"/>
      <c r="K195" s="62"/>
      <c r="L195" s="62"/>
      <c r="M195" s="62"/>
      <c r="N195" s="62"/>
      <c r="O195" s="62"/>
    </row>
    <row r="196" spans="1:15" ht="12" customHeight="1" hidden="1">
      <c r="A196" s="62"/>
      <c r="B196" s="62" t="str">
        <f>IF(Info!H13&gt;2.5,"Stress area",IF(Info!H13&gt;1.5,"Spannungsfläche","Gerilim alanı"))</f>
        <v>Gerilim alanı</v>
      </c>
      <c r="C196" s="62"/>
      <c r="D196" s="62"/>
      <c r="E196" s="62"/>
      <c r="F196" s="62"/>
      <c r="G196" s="62"/>
      <c r="H196" s="62"/>
      <c r="I196" s="62"/>
      <c r="J196" s="62"/>
      <c r="K196" s="62"/>
      <c r="L196" s="62"/>
      <c r="M196" s="62"/>
      <c r="N196" s="62"/>
      <c r="O196" s="62"/>
    </row>
    <row r="197" spans="1:15" ht="12" customHeight="1" hidden="1">
      <c r="A197" s="62"/>
      <c r="B197" s="62" t="str">
        <f>IF(Info!H13&gt;2.5,"Yield stress of the nut",IF(Info!H13&gt;1.5,"Streckgrenze der Schraubenmutter","Somunun akma mukavemeti"))</f>
        <v>Somunun akma mukavemeti</v>
      </c>
      <c r="C197" s="62"/>
      <c r="D197" s="62"/>
      <c r="E197" s="62"/>
      <c r="F197" s="62"/>
      <c r="G197" s="62"/>
      <c r="H197" s="62"/>
      <c r="I197" s="62"/>
      <c r="J197" s="62"/>
      <c r="K197" s="62"/>
      <c r="L197" s="62"/>
      <c r="M197" s="62"/>
      <c r="N197" s="62"/>
      <c r="O197" s="62"/>
    </row>
    <row r="198" spans="1:15" ht="12" customHeight="1" hidden="1">
      <c r="A198" s="62"/>
      <c r="B198" s="62" t="str">
        <f>IF(Info!H13&gt;2.5,"Yield stress of the screw ",IF(Info!H13&gt;1.5,"Streckgrenze der Schraube","Cıvatanın akma mukavemet değeri"))</f>
        <v>Cıvatanın akma mukavemet değeri</v>
      </c>
      <c r="C198" s="62"/>
      <c r="D198" s="62"/>
      <c r="E198" s="62"/>
      <c r="F198" s="62"/>
      <c r="G198" s="62"/>
      <c r="H198" s="62"/>
      <c r="I198" s="62"/>
      <c r="J198" s="62"/>
      <c r="K198" s="62"/>
      <c r="L198" s="62"/>
      <c r="M198" s="62"/>
      <c r="N198" s="62"/>
      <c r="O198" s="62"/>
    </row>
    <row r="199" spans="1:15" ht="12" customHeight="1" hidden="1">
      <c r="A199" s="62"/>
      <c r="B199" s="66" t="str">
        <f>IF(Info!H13&gt;2.5,"Yield stress Re",IF(Info!H13&gt;1.5,"Streckgrenze Re","Akma sınırı Re"))</f>
        <v>Akma sınırı Re</v>
      </c>
      <c r="C199" s="62"/>
      <c r="D199" s="62"/>
      <c r="E199" s="62"/>
      <c r="F199" s="62"/>
      <c r="G199" s="62"/>
      <c r="H199" s="62"/>
      <c r="I199" s="62"/>
      <c r="J199" s="62"/>
      <c r="K199" s="62"/>
      <c r="L199" s="62"/>
      <c r="M199" s="62"/>
      <c r="N199" s="62"/>
      <c r="O199" s="62"/>
    </row>
    <row r="200" spans="1:15" ht="12" customHeight="1" hidden="1">
      <c r="A200" s="62"/>
      <c r="B200" s="62" t="str">
        <f>IF(Info!$H$13&gt;2.5,"Thread pitch",IF(Info!$H$13&gt;1.5,"Steigung","Adım veya hatve"))</f>
        <v>Adım veya hatve</v>
      </c>
      <c r="C200" s="62"/>
      <c r="E200" s="62"/>
      <c r="F200" s="62"/>
      <c r="G200" s="62"/>
      <c r="H200" s="62"/>
      <c r="I200" s="62"/>
      <c r="J200" s="62"/>
      <c r="K200" s="62"/>
      <c r="L200" s="62"/>
      <c r="M200" s="62"/>
      <c r="N200" s="62"/>
      <c r="O200" s="62"/>
    </row>
    <row r="201" spans="1:15" ht="12" customHeight="1" hidden="1">
      <c r="A201" s="62"/>
      <c r="B201" s="62" t="str">
        <f>IF(Info!H13&gt;2.5,"Helix angle ",IF(Info!H13&gt;1.5,"Steigungswinkel","Helis açısı"))</f>
        <v>Helis açısı</v>
      </c>
      <c r="C201" s="62"/>
      <c r="D201" s="62"/>
      <c r="E201" s="62"/>
      <c r="F201" s="62"/>
      <c r="G201" s="62"/>
      <c r="H201" s="62"/>
      <c r="I201" s="62"/>
      <c r="J201" s="62"/>
      <c r="K201" s="62"/>
      <c r="L201" s="62"/>
      <c r="M201" s="62"/>
      <c r="N201" s="62"/>
      <c r="O201" s="62"/>
    </row>
    <row r="202" spans="1:15" ht="12" customHeight="1" hidden="1">
      <c r="A202" s="62"/>
      <c r="B202" s="62" t="str">
        <f>IF(Info!$H$13&gt;2.5,"Pin",IF(Info!$H$13&gt;1.5,"Stift","Pim"))</f>
        <v>Pim</v>
      </c>
      <c r="C202" s="62"/>
      <c r="D202" s="62"/>
      <c r="E202" s="62"/>
      <c r="F202" s="62"/>
      <c r="G202" s="62"/>
      <c r="H202" s="62"/>
      <c r="I202" s="62"/>
      <c r="J202" s="62"/>
      <c r="K202" s="62"/>
      <c r="L202" s="62"/>
      <c r="M202" s="62"/>
      <c r="N202" s="62"/>
      <c r="O202" s="62"/>
    </row>
    <row r="203" spans="1:15" ht="12" customHeight="1" hidden="1">
      <c r="A203" s="62"/>
      <c r="B203" s="62" t="str">
        <f>IF(Info!H13&gt;2.5,"Parts flexibility",IF(Info!H13&gt;1.5,"Teilen-Nachgiebigkeit","Plaka elastik esnekliği"))</f>
        <v>Plaka elastik esnekliği</v>
      </c>
      <c r="C203" s="62"/>
      <c r="D203" s="62"/>
      <c r="E203" s="62"/>
      <c r="F203" s="62"/>
      <c r="G203" s="62"/>
      <c r="H203" s="62"/>
      <c r="I203" s="62"/>
      <c r="J203" s="62"/>
      <c r="K203" s="62"/>
      <c r="L203" s="62"/>
      <c r="M203" s="62"/>
      <c r="N203" s="62"/>
      <c r="O203" s="62"/>
    </row>
    <row r="204" spans="1:15" ht="12" customHeight="1" hidden="1">
      <c r="A204" s="62"/>
      <c r="B204" s="62" t="str">
        <f>IF(Info!H13&gt;2.5,"Temperature  °C",IF(Info!H13&gt;1.5,"Temperatur  °C ","Isı  °C"))</f>
        <v>Isı  °C</v>
      </c>
      <c r="C204" s="62"/>
      <c r="E204" s="62"/>
      <c r="F204" s="62"/>
      <c r="G204" s="62"/>
      <c r="H204" s="62"/>
      <c r="I204" s="62"/>
      <c r="J204" s="62"/>
      <c r="K204" s="62"/>
      <c r="L204" s="62"/>
      <c r="M204" s="62"/>
      <c r="N204" s="62"/>
      <c r="O204" s="62"/>
    </row>
    <row r="205" spans="1:15" ht="12" customHeight="1" hidden="1">
      <c r="A205" s="62"/>
      <c r="B205" s="62" t="str">
        <f>IF(Info!H13&gt;2.5,"Torsional stress",IF(Info!H13&gt;1.5,"Torsionsspannung","Torsiyon gerilimi"))</f>
        <v>Torsiyon gerilimi</v>
      </c>
      <c r="C205" s="62"/>
      <c r="E205" s="62"/>
      <c r="F205" s="62"/>
      <c r="G205" s="62"/>
      <c r="H205" s="62"/>
      <c r="I205" s="62"/>
      <c r="J205" s="62"/>
      <c r="K205" s="62"/>
      <c r="L205" s="62"/>
      <c r="M205" s="62"/>
      <c r="N205" s="62"/>
      <c r="O205" s="62"/>
    </row>
    <row r="206" spans="1:15" ht="12" customHeight="1" hidden="1">
      <c r="A206" s="62"/>
      <c r="B206" s="62" t="str">
        <f>IF(Info!$H$13&gt;2.5,"Turns",IF(Info!$H$13&gt;1.5,"Umdrehungen","Devir sayısı"))</f>
        <v>Devir sayısı</v>
      </c>
      <c r="C206" s="62"/>
      <c r="E206" s="62"/>
      <c r="F206" s="62"/>
      <c r="G206" s="62"/>
      <c r="H206" s="62"/>
      <c r="I206" s="62"/>
      <c r="J206" s="62"/>
      <c r="K206" s="62"/>
      <c r="L206" s="62"/>
      <c r="M206" s="62"/>
      <c r="N206" s="62"/>
      <c r="O206" s="62"/>
    </row>
    <row r="207" spans="1:15" ht="12" customHeight="1" hidden="1">
      <c r="A207" s="62"/>
      <c r="B207" s="62" t="str">
        <f>IF(Info!H13&gt;2.5,"and Operating",IF(Info!H13&gt;1.5,"und Betrieb","ve işletme"))</f>
        <v>ve işletme</v>
      </c>
      <c r="C207" s="62"/>
      <c r="E207" s="62"/>
      <c r="F207" s="62"/>
      <c r="G207" s="62"/>
      <c r="H207" s="62"/>
      <c r="I207" s="62"/>
      <c r="J207" s="62"/>
      <c r="K207" s="62"/>
      <c r="L207" s="62"/>
      <c r="M207" s="62"/>
      <c r="N207" s="62"/>
      <c r="O207" s="62"/>
    </row>
    <row r="208" spans="1:15" ht="12" customHeight="1" hidden="1">
      <c r="A208" s="62"/>
      <c r="B208" s="62" t="str">
        <f>IF(Info!H13&gt;2.5,"Diameter of Paraboloid",IF(Info!H13&gt;1.5,"Verformungskegel-Durchm.","Paraboloid çapı"))</f>
        <v>Paraboloid çapı</v>
      </c>
      <c r="C208" s="62"/>
      <c r="D208" s="62"/>
      <c r="E208" s="62"/>
      <c r="F208" s="62"/>
      <c r="G208" s="62"/>
      <c r="H208" s="62"/>
      <c r="I208" s="62"/>
      <c r="J208" s="62"/>
      <c r="K208" s="62"/>
      <c r="L208" s="62"/>
      <c r="M208" s="62"/>
      <c r="N208" s="62"/>
      <c r="O208" s="62"/>
    </row>
    <row r="209" spans="1:15" ht="12" customHeight="1" hidden="1">
      <c r="A209" s="62"/>
      <c r="B209" s="62" t="str">
        <f>IF(Info!H13&gt;2.5,"Equivalent stress intensity ",IF(Info!H13&gt;1.5,"Vergleichsspannung","Bileşik gerilim"))</f>
        <v>Bileşik gerilim</v>
      </c>
      <c r="C209" s="62"/>
      <c r="D209" s="62"/>
      <c r="E209" s="62"/>
      <c r="F209" s="62"/>
      <c r="G209" s="62"/>
      <c r="H209" s="62"/>
      <c r="I209" s="62"/>
      <c r="J209" s="62"/>
      <c r="K209" s="62"/>
      <c r="L209" s="62"/>
      <c r="M209" s="62"/>
      <c r="N209" s="62"/>
      <c r="O209" s="62"/>
    </row>
    <row r="210" spans="1:15" ht="12" customHeight="1" hidden="1">
      <c r="A210" s="62"/>
      <c r="B210" s="62" t="str">
        <f>IF(Info!$H$13&gt;2.5,"Square sheet steel = 1",IF(Info!$H$13&gt;1.5,"Vierkantblech = 1 ","Dörtköşe plaka = 1"))</f>
        <v>Dörtköşe plaka = 1</v>
      </c>
      <c r="C210" s="62"/>
      <c r="F210" s="62"/>
      <c r="G210" s="62"/>
      <c r="H210" s="62"/>
      <c r="I210" s="62"/>
      <c r="J210" s="62"/>
      <c r="K210" s="62"/>
      <c r="L210" s="62"/>
      <c r="M210" s="62"/>
      <c r="N210" s="62"/>
      <c r="O210" s="62"/>
    </row>
    <row r="211" spans="1:15" ht="12" customHeight="1" hidden="1">
      <c r="A211" s="62"/>
      <c r="B211" s="62" t="str">
        <f>IF(Info!H13&gt;2.5,"Available high-powered swing tension",IF(Info!H13&gt;1.5,"Vorhandene dynamische Ausschlagsspannung","Hesaplanan genlik gerilimi"))</f>
        <v>Hesaplanan genlik gerilimi</v>
      </c>
      <c r="C211" s="62"/>
      <c r="D211" s="62"/>
      <c r="E211" s="62"/>
      <c r="G211" s="62"/>
      <c r="H211" s="62"/>
      <c r="I211" s="62"/>
      <c r="J211" s="62"/>
      <c r="K211" s="62"/>
      <c r="L211" s="62"/>
      <c r="M211" s="62"/>
      <c r="N211" s="62"/>
      <c r="O211" s="62"/>
    </row>
    <row r="212" spans="1:15" ht="12" customHeight="1" hidden="1">
      <c r="A212" s="62"/>
      <c r="B212" s="62" t="str">
        <f>IF(Info!H13&gt;2.5,"Available tension sectional view Asvorh",IF(Info!H13&gt;1.5,"Vorhandene Querschnitt der Schraube","Cıvatanın bilinen gerilim alanı"))</f>
        <v>Cıvatanın bilinen gerilim alanı</v>
      </c>
      <c r="C212" s="62"/>
      <c r="D212" s="62"/>
      <c r="E212" s="62"/>
      <c r="F212" s="62"/>
      <c r="G212" s="62"/>
      <c r="H212" s="62"/>
      <c r="I212" s="62"/>
      <c r="J212" s="62"/>
      <c r="K212" s="62"/>
      <c r="L212" s="62"/>
      <c r="M212" s="62"/>
      <c r="N212" s="62"/>
      <c r="O212" s="62"/>
    </row>
    <row r="213" spans="1:15" ht="12" customHeight="1" hidden="1">
      <c r="A213" s="62"/>
      <c r="B213" s="62" t="str">
        <f>IF(Info!$H$13&gt;2.5,"Safety factor during operating",IF(Info!$H$13&gt;1.5,"Vorhan. Sicherheitsfaktor","İşletmede emniyet katsayısı"))</f>
        <v>İşletmede emniyet katsayısı</v>
      </c>
      <c r="C213" s="62"/>
      <c r="D213" s="62"/>
      <c r="E213" s="62"/>
      <c r="F213" s="62"/>
      <c r="G213" s="62"/>
      <c r="H213" s="62"/>
      <c r="I213" s="62"/>
      <c r="J213" s="62"/>
      <c r="K213" s="62"/>
      <c r="L213" s="62"/>
      <c r="M213" s="62"/>
      <c r="N213" s="62"/>
      <c r="O213" s="62"/>
    </row>
    <row r="214" spans="1:15" ht="12" customHeight="1" hidden="1">
      <c r="A214" s="62"/>
      <c r="B214" s="62" t="str">
        <f>IF(Info!$H$13&gt;2.5,"Proposition for minor diameter",IF(Info!$H$13&gt;1.5,"Vorschlag für Kerndurchmesser","Önerilen iç çap"))</f>
        <v>Önerilen iç çap</v>
      </c>
      <c r="C214" s="62"/>
      <c r="D214" s="62"/>
      <c r="E214" s="62"/>
      <c r="F214" s="62"/>
      <c r="G214" s="62"/>
      <c r="H214" s="62"/>
      <c r="I214" s="62"/>
      <c r="J214" s="62"/>
      <c r="K214" s="62"/>
      <c r="L214" s="62"/>
      <c r="M214" s="62"/>
      <c r="N214" s="62"/>
      <c r="O214" s="62"/>
    </row>
    <row r="215" spans="1:15" ht="12" customHeight="1" hidden="1">
      <c r="A215" s="62"/>
      <c r="B215" s="62" t="str">
        <f>IF(Info!H13&gt;2.5,"accepted pretensioning force",IF(Info!H13&gt;1.5,"Angenom. Vorspannkraft","Alınan ön germe kuvveti"))</f>
        <v>Alınan ön germe kuvveti</v>
      </c>
      <c r="C215" s="62"/>
      <c r="D215" s="62"/>
      <c r="E215" s="62"/>
      <c r="F215" s="62"/>
      <c r="G215" s="62"/>
      <c r="H215" s="62"/>
      <c r="I215" s="62"/>
      <c r="J215" s="62"/>
      <c r="K215" s="62"/>
      <c r="L215" s="62"/>
      <c r="M215" s="62"/>
      <c r="N215" s="62"/>
      <c r="O215" s="62"/>
    </row>
    <row r="216" spans="1:15" ht="12" customHeight="1" hidden="1">
      <c r="A216" s="62"/>
      <c r="B216" s="62" t="str">
        <f>IF(Info!H13&gt;2.5,"calculated pretensioning force",IF(Info!H13&gt;1.5,"Berechn. Vorspannkraft","Hesap. ön germe kuvveti"))</f>
        <v>Hesap. ön germe kuvveti</v>
      </c>
      <c r="C216" s="62"/>
      <c r="D216" s="62"/>
      <c r="E216" s="62"/>
      <c r="F216" s="62"/>
      <c r="G216" s="62"/>
      <c r="H216" s="62"/>
      <c r="I216" s="62"/>
      <c r="J216" s="62"/>
      <c r="K216" s="62"/>
      <c r="L216" s="62"/>
      <c r="M216" s="62"/>
      <c r="N216" s="62"/>
      <c r="O216" s="62"/>
    </row>
    <row r="217" spans="1:15" ht="12" customHeight="1" hidden="1">
      <c r="A217" s="62"/>
      <c r="B217" s="62" t="str">
        <f>IF(Info!H13&gt;2.5,"max. pretensioning force",IF(Info!H13&gt;1.5,"max. Vorspannkraft","max. Ön germe kuvveti"))</f>
        <v>max. Ön germe kuvveti</v>
      </c>
      <c r="C217" s="62"/>
      <c r="D217" s="62"/>
      <c r="E217" s="62"/>
      <c r="F217" s="62"/>
      <c r="G217" s="62"/>
      <c r="H217" s="62"/>
      <c r="I217" s="62"/>
      <c r="J217" s="62"/>
      <c r="K217" s="62"/>
      <c r="L217" s="62"/>
      <c r="M217" s="62"/>
      <c r="N217" s="62"/>
      <c r="O217" s="62"/>
    </row>
    <row r="218" spans="1:15" ht="12" customHeight="1" hidden="1">
      <c r="A218" s="62"/>
      <c r="B218" s="62" t="str">
        <f>IF(Info!H13&gt;2.5,"necessary pretensioning force",IF(Info!H13&gt;1.5,"Nötige Vorspannkraft","Gerekli ön germe kuvveti"))</f>
        <v>Gerekli ön germe kuvveti</v>
      </c>
      <c r="C218" s="62"/>
      <c r="D218" s="62"/>
      <c r="E218" s="62"/>
      <c r="F218" s="62"/>
      <c r="G218" s="62"/>
      <c r="H218" s="62"/>
      <c r="I218" s="62"/>
      <c r="J218" s="62"/>
      <c r="K218" s="62"/>
      <c r="L218" s="62"/>
      <c r="M218" s="62"/>
      <c r="N218" s="62"/>
      <c r="O218" s="62"/>
    </row>
    <row r="219" spans="1:15" ht="12" customHeight="1" hidden="1">
      <c r="A219" s="62"/>
      <c r="B219" s="62" t="str">
        <f>IF(Info!H13&gt;2.5,"pretensioning force of operation",IF(Info!H13&gt;1.5,"Vorspannkraft im Bet.","Ön germe kuvveti, İş."))</f>
        <v>Ön germe kuvveti, İş.</v>
      </c>
      <c r="C219" s="62"/>
      <c r="D219" s="62"/>
      <c r="E219" s="62"/>
      <c r="F219" s="62"/>
      <c r="G219" s="62"/>
      <c r="H219" s="62"/>
      <c r="I219" s="62"/>
      <c r="J219" s="62"/>
      <c r="K219" s="62"/>
      <c r="L219" s="62"/>
      <c r="M219" s="62"/>
      <c r="N219" s="62"/>
      <c r="O219" s="62"/>
    </row>
    <row r="220" spans="1:15" ht="12" customHeight="1" hidden="1">
      <c r="A220" s="62"/>
      <c r="B220" s="62" t="str">
        <f>IF(Info!H13&gt;2.5,"Preselection of the screw",IF(Info!H13&gt;1.5,"Vorwahl der Schraube","Cıvatanın ön seçimi"))</f>
        <v>Cıvatanın ön seçimi</v>
      </c>
      <c r="C220" s="62"/>
      <c r="D220" s="62"/>
      <c r="G220" s="62"/>
      <c r="H220" s="62"/>
      <c r="I220" s="62"/>
      <c r="J220" s="62"/>
      <c r="K220" s="62"/>
      <c r="L220" s="62"/>
      <c r="M220" s="62"/>
      <c r="N220" s="62"/>
      <c r="O220" s="62"/>
    </row>
    <row r="221" spans="1:15" ht="12" customHeight="1" hidden="1">
      <c r="A221" s="62"/>
      <c r="B221" s="62" t="str">
        <f>IF(Info!H13&gt;2.5,"Enter if the supporting flank number is computed.",IF(Info!H13&gt;1.5,"Wenn die eingeschraubte Flankenanzahl berechnet wirt, dann eingeben.","Taşıyıcı diş sayısı n hesaplanınca kabul edilen diş sayısı yazılır."))</f>
        <v>Taşıyıcı diş sayısı n hesaplanınca kabul edilen diş sayısı yazılır.</v>
      </c>
      <c r="C221" s="62"/>
      <c r="D221" s="62"/>
      <c r="G221" s="62"/>
      <c r="H221" s="62"/>
      <c r="I221" s="62"/>
      <c r="J221" s="62"/>
      <c r="K221" s="62"/>
      <c r="L221" s="62"/>
      <c r="M221" s="62"/>
      <c r="N221" s="62"/>
      <c r="O221" s="62"/>
    </row>
    <row r="222" spans="1:15" ht="12" customHeight="1" hidden="1">
      <c r="A222" s="62"/>
      <c r="B222" s="62" t="str">
        <f>IF(Info!H13&gt;2.5,"Material",IF(Info!H13&gt;1.5,"Werkstoff ","Malzeme"))</f>
        <v>Malzeme</v>
      </c>
      <c r="C222" s="62"/>
      <c r="D222" s="62"/>
      <c r="E222" s="62"/>
      <c r="F222" s="62"/>
      <c r="G222" s="62"/>
      <c r="H222" s="62"/>
      <c r="I222" s="62"/>
      <c r="J222" s="62"/>
      <c r="K222" s="62"/>
      <c r="L222" s="62"/>
      <c r="M222" s="62"/>
      <c r="N222" s="62"/>
      <c r="O222" s="62"/>
    </row>
    <row r="223" spans="1:15" ht="12" customHeight="1" hidden="1">
      <c r="A223" s="61"/>
      <c r="B223" s="62" t="str">
        <f>IF(Info!H13&gt;2.5,"Polar moment",IF(Info!H13&gt;1.5,"Widerstandsmoment","Tor. Karşıkoyma Momenti"))</f>
        <v>Tor. Karşıkoyma Momenti</v>
      </c>
      <c r="C223" s="3"/>
      <c r="D223" s="62"/>
      <c r="E223" s="62"/>
      <c r="F223" s="62"/>
      <c r="G223" s="62"/>
      <c r="H223" s="62"/>
      <c r="I223" s="62"/>
      <c r="J223" s="62"/>
      <c r="K223" s="62"/>
      <c r="L223" s="62"/>
      <c r="M223" s="62"/>
      <c r="N223" s="62"/>
      <c r="O223" s="62"/>
    </row>
    <row r="224" spans="1:15" ht="12" customHeight="1" hidden="1">
      <c r="A224" s="61"/>
      <c r="B224" s="62" t="str">
        <f>IF(Info!$H$13&gt;2.5,"Efficiency",IF(Info!$H$13&gt;1.5,"Wirkungsgrad","Verim"))</f>
        <v>Verim</v>
      </c>
      <c r="C224" s="3"/>
      <c r="D224" s="62"/>
      <c r="E224" s="62"/>
      <c r="F224" s="62"/>
      <c r="G224" s="62"/>
      <c r="H224" s="62"/>
      <c r="I224" s="62"/>
      <c r="J224" s="62"/>
      <c r="K224" s="62"/>
      <c r="L224" s="62"/>
      <c r="M224" s="62"/>
      <c r="N224" s="62"/>
      <c r="O224" s="62"/>
    </row>
    <row r="225" spans="1:15" ht="12" customHeight="1" hidden="1">
      <c r="A225" s="61"/>
      <c r="B225" s="62" t="str">
        <f>IF(Info!H13&gt;2.5,"Tensile stress ",IF(Info!H13&gt;1.5,"Zugspannung","Çekme gerilimi"))</f>
        <v>Çekme gerilimi</v>
      </c>
      <c r="C225" s="3"/>
      <c r="D225" s="62"/>
      <c r="E225" s="62"/>
      <c r="F225" s="62"/>
      <c r="G225" s="62"/>
      <c r="H225" s="62"/>
      <c r="I225" s="62"/>
      <c r="J225" s="62"/>
      <c r="K225" s="62"/>
      <c r="L225" s="62"/>
      <c r="M225" s="62"/>
      <c r="N225" s="62"/>
      <c r="O225" s="62"/>
    </row>
    <row r="226" spans="1:15" ht="12" customHeight="1" hidden="1">
      <c r="A226" s="61"/>
      <c r="B226" s="62" t="str">
        <f>IF(Info!H13&gt;2.5,"Permissible high-powered swing tension",IF(Info!H13&gt;1.5,"zulässige dynamische Ausschlagsfestigkeit","Emniyetli dinamik genlik mukavemeti"))</f>
        <v>Emniyetli dinamik genlik mukavemeti</v>
      </c>
      <c r="C226" s="66"/>
      <c r="D226" s="66"/>
      <c r="E226" s="62"/>
      <c r="G226" s="62"/>
      <c r="H226" s="62"/>
      <c r="I226" s="62"/>
      <c r="J226" s="62"/>
      <c r="K226" s="62"/>
      <c r="L226" s="62"/>
      <c r="M226" s="62"/>
      <c r="N226" s="62"/>
      <c r="O226" s="62"/>
    </row>
    <row r="227" spans="1:15" ht="12" customHeight="1" hidden="1">
      <c r="A227" s="61"/>
      <c r="B227" s="62" t="str">
        <f>IF(Info!H13&gt;2.5,"Supplementary strength of the screw",IF(Info!H13&gt;1.5,"Zusatzkraft der Schraube","Cıvatayı etkileyen ek kuvvet"))</f>
        <v>Cıvatayı etkileyen ek kuvvet</v>
      </c>
      <c r="C227" s="63"/>
      <c r="D227" s="66"/>
      <c r="E227" s="66"/>
      <c r="F227" s="66"/>
      <c r="G227" s="62"/>
      <c r="H227" s="62"/>
      <c r="I227" s="62"/>
      <c r="J227" s="62"/>
      <c r="K227" s="62"/>
      <c r="L227" s="62"/>
      <c r="M227" s="62"/>
      <c r="N227" s="62"/>
      <c r="O227" s="62"/>
    </row>
    <row r="228" spans="1:15" ht="12" customHeight="1" hidden="1">
      <c r="A228" s="61"/>
      <c r="B228" s="62"/>
      <c r="C228" s="66"/>
      <c r="D228" s="66"/>
      <c r="E228" s="66"/>
      <c r="F228" s="66"/>
      <c r="G228" s="62"/>
      <c r="H228" s="62"/>
      <c r="I228" s="62"/>
      <c r="J228" s="62"/>
      <c r="K228" s="62"/>
      <c r="L228" s="62"/>
      <c r="M228" s="62"/>
      <c r="N228" s="62"/>
      <c r="O228" s="62"/>
    </row>
    <row r="229" spans="1:15" ht="12" customHeight="1" hidden="1">
      <c r="A229" s="61"/>
      <c r="B229" s="62"/>
      <c r="C229" s="66"/>
      <c r="D229" s="66"/>
      <c r="E229" s="62"/>
      <c r="F229" s="62"/>
      <c r="G229" s="62"/>
      <c r="H229" s="62"/>
      <c r="I229" s="62"/>
      <c r="J229" s="62"/>
      <c r="K229" s="62"/>
      <c r="L229" s="62"/>
      <c r="M229" s="62"/>
      <c r="N229" s="62"/>
      <c r="O229" s="62"/>
    </row>
    <row r="230" spans="1:15" ht="12" customHeight="1" hidden="1">
      <c r="A230" s="61"/>
      <c r="B230" s="62" t="str">
        <f>IF(Info!H13&gt;2.5,"1. Coarse selection of the screw without post-checking",IF(Info!H13&gt;1.5,"1. Grobauswahl der Schraube ohne Nachkontrolle","1. Hesap yapılmadan kullanılacak cıvatanın kaba seçimi"))</f>
        <v>1. Hesap yapılmadan kullanılacak cıvatanın kaba seçimi</v>
      </c>
      <c r="C230" s="62"/>
      <c r="D230" s="62"/>
      <c r="E230" s="62"/>
      <c r="F230" s="62"/>
      <c r="G230" s="62"/>
      <c r="H230" s="62"/>
      <c r="I230" s="62"/>
      <c r="J230" s="62"/>
      <c r="K230" s="62"/>
      <c r="L230" s="62"/>
      <c r="M230" s="62"/>
      <c r="N230" s="62"/>
      <c r="O230" s="62"/>
    </row>
    <row r="231" spans="1:15" ht="12" customHeight="1" hidden="1">
      <c r="A231" s="61"/>
      <c r="B231" s="62" t="str">
        <f>IF(Info!H13&gt;2.5,"2. Coarse selection of the screw to the detailed to compute",IF(Info!H13&gt;1.5,"2. Grobauswahl der Schraube um detailliert zu berechnen","2. Hassas hesaplacak cıvatanın kaba seçimi"))</f>
        <v>2. Hassas hesaplacak cıvatanın kaba seçimi</v>
      </c>
      <c r="C231" s="62"/>
      <c r="D231" s="62"/>
      <c r="E231" s="62"/>
      <c r="F231" s="62"/>
      <c r="G231" s="62"/>
      <c r="H231" s="62"/>
      <c r="I231" s="62"/>
      <c r="J231" s="62"/>
      <c r="K231" s="62"/>
      <c r="L231" s="62"/>
      <c r="M231" s="62"/>
      <c r="N231" s="62"/>
      <c r="O231" s="62"/>
    </row>
    <row r="232" spans="1:15" ht="12" customHeight="1" hidden="1">
      <c r="A232" s="61"/>
      <c r="B232" s="62"/>
      <c r="C232" s="62"/>
      <c r="D232" s="62"/>
      <c r="E232" s="62"/>
      <c r="F232" s="62"/>
      <c r="G232" s="62"/>
      <c r="H232" s="62"/>
      <c r="I232" s="62"/>
      <c r="J232" s="62"/>
      <c r="K232" s="62"/>
      <c r="L232" s="62"/>
      <c r="M232" s="62"/>
      <c r="N232" s="62"/>
      <c r="O232" s="62"/>
    </row>
    <row r="233" spans="1:15" ht="12" customHeight="1" hidden="1">
      <c r="A233" s="61"/>
      <c r="B233" s="62" t="str">
        <f>IF(Info!H13&gt;2.5,"Screw combination without initial tension in steel construction",IF(Info!H13&gt;1.5,"Schraubenverbindungen ohne Vorspannung im Stahlbau","Çelik konsruksiyonda ön germesiz cıvata bağlantıları"))</f>
        <v>Çelik konsruksiyonda ön germesiz cıvata bağlantıları</v>
      </c>
      <c r="C233" s="62"/>
      <c r="D233" s="62"/>
      <c r="E233" s="62"/>
      <c r="F233" s="62"/>
      <c r="G233" s="62"/>
      <c r="H233" s="62"/>
      <c r="I233" s="62"/>
      <c r="J233" s="62"/>
      <c r="K233" s="62"/>
      <c r="L233" s="62"/>
      <c r="M233" s="62"/>
      <c r="N233" s="62"/>
      <c r="O233" s="62"/>
    </row>
    <row r="234" spans="1:15" ht="12" customHeight="1" hidden="1">
      <c r="A234" s="61"/>
      <c r="B234" s="62" t="str">
        <f>IF(Info!H13&gt;2.5,"Screw combination with initial tension in steel construction",IF(Info!H13&gt;1.5,"Schraubenverbindungen mit Vorspannung, im Stahlbau","Çelik konsruksiyonda ön germeli cıvata bağlantıları"))</f>
        <v>Çelik konsruksiyonda ön germeli cıvata bağlantıları</v>
      </c>
      <c r="C234" s="62"/>
      <c r="D234" s="62"/>
      <c r="E234" s="62"/>
      <c r="F234" s="62"/>
      <c r="G234" s="62"/>
      <c r="H234" s="62"/>
      <c r="I234" s="62"/>
      <c r="J234" s="62"/>
      <c r="K234" s="62"/>
      <c r="L234" s="62"/>
      <c r="M234" s="62"/>
      <c r="N234" s="62"/>
      <c r="O234" s="62"/>
    </row>
    <row r="235" spans="1:15" ht="12" customHeight="1" hidden="1">
      <c r="A235" s="61"/>
      <c r="B235" s="62"/>
      <c r="C235" s="62"/>
      <c r="D235" s="62"/>
      <c r="E235" s="62"/>
      <c r="F235" s="62"/>
      <c r="G235" s="62"/>
      <c r="H235" s="62"/>
      <c r="I235" s="62"/>
      <c r="J235" s="62"/>
      <c r="K235" s="62"/>
      <c r="L235" s="62"/>
      <c r="M235" s="62"/>
      <c r="N235" s="62"/>
      <c r="O235" s="62"/>
    </row>
    <row r="236" spans="1:15" ht="12" customHeight="1" hidden="1">
      <c r="A236" s="61"/>
      <c r="B236" s="62" t="str">
        <f>IF(Info!H13&gt;2.5,"1. Coarse selection shaft screws with preload",IF(Info!H13&gt;1.5,"1. Grobauswahl Schaftschrauben mit Vorspannung","1. Ön germeli cıvataların kabaca seçimi"))</f>
        <v>1. Ön germeli cıvataların kabaca seçimi</v>
      </c>
      <c r="C236" s="63"/>
      <c r="D236" s="62"/>
      <c r="E236" s="62"/>
      <c r="F236" s="62"/>
      <c r="G236" s="62"/>
      <c r="H236" s="62"/>
      <c r="I236" s="62"/>
      <c r="J236" s="62"/>
      <c r="K236" s="62"/>
      <c r="L236" s="62"/>
      <c r="M236" s="62"/>
      <c r="N236" s="62"/>
      <c r="O236" s="62"/>
    </row>
    <row r="237" spans="1:15" ht="12" customHeight="1" hidden="1">
      <c r="A237" s="61"/>
      <c r="B237" s="62" t="str">
        <f>IF(Info!H13&gt;2.5,"2. Fine calculation shaft screws with preload",IF(Info!H13&gt;1.5,"2. Schaftschrauben mit Vorspannung, Feinberechnung","2. Yalnız yük etkisindeki ön germeli şaft cıvatalarının detaylı hesabı"))</f>
        <v>2. Yalnız yük etkisindeki ön germeli şaft cıvatalarının detaylı hesabı</v>
      </c>
      <c r="C237" s="63"/>
      <c r="D237" s="62"/>
      <c r="E237" s="62"/>
      <c r="F237" s="62"/>
      <c r="G237" s="62"/>
      <c r="H237" s="62"/>
      <c r="I237" s="62"/>
      <c r="J237" s="62"/>
      <c r="K237" s="62"/>
      <c r="L237" s="62"/>
      <c r="M237" s="62"/>
      <c r="N237" s="62"/>
      <c r="O237" s="62"/>
    </row>
    <row r="238" spans="1:15" ht="12" customHeight="1" hidden="1">
      <c r="A238" s="61"/>
      <c r="B238" s="62" t="str">
        <f>IF(Info!H13&gt;2.5,"3. Fine calculation shaft screws with preload and heat",IF(Info!H13&gt;1.5,"3. Schaftschrauben mit Vorspannung und Wärmebeanspruchung","3. Yük ve ısı etkisindeki ön germeli şaft cıvataları"))</f>
        <v>3. Yük ve ısı etkisindeki ön germeli şaft cıvataları</v>
      </c>
      <c r="C238" s="63"/>
      <c r="D238" s="62"/>
      <c r="E238" s="62"/>
      <c r="F238" s="62"/>
      <c r="G238" s="62"/>
      <c r="H238" s="62"/>
      <c r="I238" s="62"/>
      <c r="J238" s="62"/>
      <c r="K238" s="62"/>
      <c r="L238" s="62"/>
      <c r="M238" s="62"/>
      <c r="N238" s="62"/>
      <c r="O238" s="62"/>
    </row>
    <row r="239" spans="1:15" ht="12" customHeight="1" hidden="1">
      <c r="A239" s="61"/>
      <c r="B239" s="62" t="str">
        <f>IF(Info!H13&gt;2.5,"4. Fine calculation shaft screws with preload and heat",IF(Info!H13&gt;1.5,"4. Schaftschrauben mit Vorspannung und längs Wärmebeanspruchung, Feinberechnung","4. Yük ve boyuna ısı etkisindeki ön germeli şaft cıvatalarının detaylı hesabı"))</f>
        <v>4. Yük ve boyuna ısı etkisindeki ön germeli şaft cıvatalarının detaylı hesabı</v>
      </c>
      <c r="C239" s="63"/>
      <c r="D239" s="62"/>
      <c r="E239" s="62"/>
      <c r="F239" s="62"/>
      <c r="G239" s="62"/>
      <c r="H239" s="62"/>
      <c r="I239" s="62"/>
      <c r="J239" s="62"/>
      <c r="K239" s="62"/>
      <c r="L239" s="62"/>
      <c r="M239" s="62"/>
      <c r="N239" s="62"/>
      <c r="O239" s="62"/>
    </row>
    <row r="240" spans="1:15" ht="12" customHeight="1" hidden="1">
      <c r="A240" s="61"/>
      <c r="B240" s="62" t="str">
        <f>IF(Info!H13&gt;2.5,"5. Fine calculation stretch screws with preload and heat, lengthwise and crossways",IF(Info!H13&gt;1.5,"5. Dehnschrauben mit Vorspannung + längs und quer Wärmebeanspruchung","5. Yük, enine ve boyuna ısı etkisindeki ön germeli esnek cıvataların hesabı"))</f>
        <v>5. Yük, enine ve boyuna ısı etkisindeki ön germeli esnek cıvataların hesabı</v>
      </c>
      <c r="C240" s="63"/>
      <c r="D240" s="62"/>
      <c r="E240" s="62"/>
      <c r="F240" s="62"/>
      <c r="G240" s="62"/>
      <c r="H240" s="62"/>
      <c r="I240" s="62"/>
      <c r="J240" s="62"/>
      <c r="K240" s="62"/>
      <c r="L240" s="62"/>
      <c r="M240" s="62"/>
      <c r="N240" s="62"/>
      <c r="O240" s="62"/>
    </row>
    <row r="241" spans="1:15" ht="12" customHeight="1" hidden="1">
      <c r="A241" s="61"/>
      <c r="B241" s="62" t="str">
        <f>IF(Info!H13&gt;2.5,"6. Screw combination in steel construction",IF(Info!H13&gt;1.5,"6. Schraubenverbindungen im Stahlbau","6. Çelik konsruksiyonda cıvata bağlantıları"))</f>
        <v>6. Çelik konsruksiyonda cıvata bağlantıları</v>
      </c>
      <c r="C241" s="63"/>
      <c r="D241" s="62"/>
      <c r="E241" s="62"/>
      <c r="F241" s="62"/>
      <c r="G241" s="62"/>
      <c r="H241" s="62"/>
      <c r="I241" s="62"/>
      <c r="J241" s="62"/>
      <c r="K241" s="62"/>
      <c r="L241" s="62"/>
      <c r="M241" s="62"/>
      <c r="N241" s="62"/>
      <c r="O241" s="62"/>
    </row>
    <row r="242" spans="1:15" ht="12" customHeight="1" hidden="1">
      <c r="A242" s="61"/>
      <c r="B242" s="62" t="str">
        <f>IF(Info!H13&gt;2.5,"7. Translational screws",IF(Info!H13&gt;1.5,"7. Bewegungsschrauben","7. Haraket cıvataları"))</f>
        <v>7. Haraket cıvataları</v>
      </c>
      <c r="C242" s="63"/>
      <c r="D242" s="62"/>
      <c r="E242" s="62"/>
      <c r="F242" s="62"/>
      <c r="G242" s="62"/>
      <c r="H242" s="62"/>
      <c r="I242" s="62"/>
      <c r="J242" s="62"/>
      <c r="K242" s="62"/>
      <c r="L242" s="62"/>
      <c r="M242" s="62"/>
      <c r="N242" s="62"/>
      <c r="O242" s="62"/>
    </row>
    <row r="243" spans="1:15" ht="12" customHeight="1" hidden="1">
      <c r="A243" s="61"/>
      <c r="B243" s="62" t="str">
        <f>IF(Info!H13&gt;2.5,"8. Cut load of the thread",IF(Info!H13&gt;1.5,"8. Scherbelastung des Gewindes","8. Vida kesitinin kontrolü"))</f>
        <v>8. Vida kesitinin kontrolü</v>
      </c>
      <c r="C243" s="63"/>
      <c r="D243" s="62"/>
      <c r="E243" s="62"/>
      <c r="F243" s="62"/>
      <c r="G243" s="62"/>
      <c r="H243" s="62"/>
      <c r="I243" s="62"/>
      <c r="J243" s="62"/>
      <c r="K243" s="62"/>
      <c r="L243" s="62"/>
      <c r="M243" s="62"/>
      <c r="N243" s="62"/>
      <c r="O243" s="62"/>
    </row>
    <row r="244" spans="1:15" ht="12" customHeight="1" hidden="1">
      <c r="A244" s="61"/>
      <c r="B244" s="62"/>
      <c r="C244" s="63"/>
      <c r="D244" s="62"/>
      <c r="E244" s="62"/>
      <c r="F244" s="62"/>
      <c r="G244" s="62"/>
      <c r="H244" s="62"/>
      <c r="I244" s="62"/>
      <c r="J244" s="62"/>
      <c r="K244" s="62"/>
      <c r="L244" s="62"/>
      <c r="M244" s="62"/>
      <c r="N244" s="62"/>
      <c r="O244" s="62"/>
    </row>
    <row r="245" spans="1:15" ht="12" customHeight="1" hidden="1">
      <c r="A245" s="61"/>
      <c r="B245" s="62" t="str">
        <f>IF(Info!H13&gt;2.5,"1st part is the part to be secured (hmin). 2nd part is main body. 3rd part are supplementary construction pieces.",IF(Info!H13&gt;1.5,"1. Bauteil ist angeschraubtes Teil (hmin).  2. Bauteil ist das Hauptteil. 3. Bauteil sind die Teile der Zusatzkonstruktion.","1. Parça;bağlanan parçadır (hmin). 2. Parça;taşıyıcı ana parçadır. 3. Parça;ek konstruksiyon parçalarıdır."))</f>
        <v>1. Parça;bağlanan parçadır (hmin). 2. Parça;taşıyıcı ana parçadır. 3. Parça;ek konstruksiyon parçalarıdır.</v>
      </c>
      <c r="C245" s="63"/>
      <c r="D245" s="62"/>
      <c r="E245" s="62"/>
      <c r="F245" s="62"/>
      <c r="G245" s="62"/>
      <c r="H245" s="62"/>
      <c r="I245" s="62"/>
      <c r="J245" s="62"/>
      <c r="K245" s="62"/>
      <c r="L245" s="62"/>
      <c r="M245" s="62"/>
      <c r="N245" s="62"/>
      <c r="O245" s="62"/>
    </row>
    <row r="246" spans="1:15" ht="12" customHeight="1" hidden="1">
      <c r="A246" s="61"/>
      <c r="B246" s="62" t="str">
        <f>IF(Info!H13&gt;2.5,"Attracting torque and pre-tension are selected, depending on effort of the screw joint.",IF(Info!H13&gt;1.5,"Anziehdrehmoment und Vorspannkraft werden, je nach Einsatz der Verbindungung, ausgewählt. ","Sıkıştırma momenti ve ön gerilme kuvveti ya tabeladan veya hesaplananmomente göre alınır."))</f>
        <v>Sıkıştırma momenti ve ön gerilme kuvveti ya tabeladan veya hesaplananmomente göre alınır.</v>
      </c>
      <c r="C246" s="63"/>
      <c r="D246" s="62"/>
      <c r="E246" s="62"/>
      <c r="F246" s="62"/>
      <c r="G246" s="62"/>
      <c r="H246" s="62"/>
      <c r="I246" s="62"/>
      <c r="J246" s="62"/>
      <c r="K246" s="62"/>
      <c r="L246" s="62"/>
      <c r="M246" s="62"/>
      <c r="N246" s="62"/>
      <c r="O246" s="62"/>
    </row>
    <row r="247" spans="1:15" ht="12" customHeight="1" hidden="1">
      <c r="A247" s="61"/>
      <c r="B247" s="62" t="str">
        <f>IF(Info!H13&gt;2.5,"It is the endurance control in this program that an end compensated thread has valid as the screws.",IF(Info!H13&gt;1.5,"Die Dauerfestigkeitskontrolle in diesem Programm ist für die Schraube gültig, die ein schlussvergütetes Gewinde hat.","Bu programdaki devamlı mukavemet hesabı, civata kafası presleme ve vida ovalama metoduyla imal edilmiş vede imalat bitiminde islah edilmiş civatalar için geçerlidir."))</f>
        <v>Bu programdaki devamlı mukavemet hesabı, civata kafası presleme ve vida ovalama metoduyla imal edilmiş vede imalat bitiminde islah edilmiş civatalar için geçerlidir.</v>
      </c>
      <c r="C247" s="67"/>
      <c r="D247" s="67"/>
      <c r="E247" s="67"/>
      <c r="F247" s="67"/>
      <c r="G247" s="67"/>
      <c r="H247" s="67"/>
      <c r="I247" s="67"/>
      <c r="J247" s="67"/>
      <c r="K247" s="68"/>
      <c r="L247" s="62"/>
      <c r="M247" s="62"/>
      <c r="N247" s="62"/>
      <c r="O247" s="62"/>
    </row>
    <row r="248" spans="1:15" ht="12" customHeight="1" hidden="1">
      <c r="A248" s="61"/>
      <c r="B248" s="62"/>
      <c r="C248" s="67"/>
      <c r="D248" s="67"/>
      <c r="E248" s="67"/>
      <c r="F248" s="67"/>
      <c r="G248" s="67"/>
      <c r="H248" s="67"/>
      <c r="I248" s="67"/>
      <c r="J248" s="67"/>
      <c r="K248" s="68"/>
      <c r="L248" s="62"/>
      <c r="M248" s="62"/>
      <c r="N248" s="62"/>
      <c r="O248" s="62"/>
    </row>
    <row r="249" spans="1:15" ht="12" customHeight="1" hidden="1">
      <c r="A249" s="61"/>
      <c r="B249" s="62"/>
      <c r="C249" s="67"/>
      <c r="D249" s="67"/>
      <c r="E249" s="67"/>
      <c r="F249" s="67"/>
      <c r="G249" s="67"/>
      <c r="H249" s="67"/>
      <c r="I249" s="67"/>
      <c r="J249" s="67"/>
      <c r="K249" s="68"/>
      <c r="L249" s="62"/>
      <c r="M249" s="62"/>
      <c r="N249" s="62"/>
      <c r="O249" s="62"/>
    </row>
    <row r="250" spans="1:15" ht="12" customHeight="1" hidden="1">
      <c r="A250" s="61"/>
      <c r="B250" s="62" t="str">
        <f>IF(Info!H13&gt;2.5,"All values are permissible.",IF(Info!H13&gt;1.5,"Alle Werte sind zulässig.","Bütün değerler yeterli. Konstruksiyon yapılabilir"))</f>
        <v>Bütün değerler yeterli. Konstruksiyon yapılabilir</v>
      </c>
      <c r="C250" s="67"/>
      <c r="D250" s="67"/>
      <c r="E250" s="67"/>
      <c r="F250" s="67"/>
      <c r="G250" s="67"/>
      <c r="H250" s="67"/>
      <c r="I250" s="67"/>
      <c r="J250" s="62"/>
      <c r="K250" s="62"/>
      <c r="L250" s="62"/>
      <c r="M250" s="62"/>
      <c r="N250" s="62"/>
      <c r="O250" s="62"/>
    </row>
    <row r="251" spans="1:15" ht="12" customHeight="1" hidden="1">
      <c r="A251" s="61"/>
      <c r="B251" s="62" t="str">
        <f>IF(Info!H13&gt;2.5,"There are values that are less than 1. Do you want to release the design anyway?",IF(Info!H13&gt;1.5,"Es gibt Werte, die kleiner als 1 sind, wollen Sie trotzdem die Konstruktion freigeben ?"," Birden küçük, yani yetersiz sonuçlar var. Buna rağmen kosntruksiyonu yapmak ister misiniz?"))</f>
        <v> Birden küçük, yani yetersiz sonuçlar var. Buna rağmen kosntruksiyonu yapmak ister misiniz?</v>
      </c>
      <c r="C251" s="67"/>
      <c r="D251" s="67"/>
      <c r="E251" s="67"/>
      <c r="F251" s="67"/>
      <c r="G251" s="67"/>
      <c r="H251" s="67"/>
      <c r="I251" s="67"/>
      <c r="J251" s="62"/>
      <c r="K251" s="62"/>
      <c r="L251" s="62"/>
      <c r="M251" s="62"/>
      <c r="N251" s="62"/>
      <c r="O251" s="62"/>
    </row>
    <row r="252" spans="1:15" ht="12" customHeight="1" hidden="1">
      <c r="A252" s="61"/>
      <c r="B252"/>
      <c r="C252" s="67"/>
      <c r="D252" s="67"/>
      <c r="E252" s="67"/>
      <c r="F252" s="67"/>
      <c r="G252" s="67"/>
      <c r="H252" s="67"/>
      <c r="I252" s="67"/>
      <c r="J252" s="62"/>
      <c r="K252" s="62"/>
      <c r="L252" s="62"/>
      <c r="M252" s="62"/>
      <c r="N252" s="62"/>
      <c r="O252" s="62"/>
    </row>
    <row r="253" spans="1:15" ht="12" customHeight="1" hidden="1">
      <c r="A253" s="61"/>
      <c r="B253" s="64" t="str">
        <f>IF(Info!H13&gt;2.5,"  Permissible",IF(Info!H13&gt;1.5,"  Zulässig","  Yeterli"))</f>
        <v>  Yeterli</v>
      </c>
      <c r="C253" s="67"/>
      <c r="D253" s="67"/>
      <c r="E253" s="67"/>
      <c r="F253" s="67"/>
      <c r="G253" s="67"/>
      <c r="H253" s="67"/>
      <c r="I253" s="67"/>
      <c r="J253" s="62"/>
      <c r="K253" s="62"/>
      <c r="L253" s="62"/>
      <c r="M253" s="62"/>
      <c r="N253" s="62"/>
      <c r="O253" s="62"/>
    </row>
    <row r="254" spans="1:15" ht="12" customHeight="1" hidden="1">
      <c r="A254" s="61"/>
      <c r="B254" s="62" t="str">
        <f>IF(Info!H13&gt;2.5,"  Inadmissible! ",IF(Info!H13&gt;1.5,"  Nicht zulässig! ","  Yetersiz!"))</f>
        <v>  Yetersiz!</v>
      </c>
      <c r="C254" s="63"/>
      <c r="D254" s="62"/>
      <c r="E254" s="62"/>
      <c r="F254" s="62"/>
      <c r="G254" s="62"/>
      <c r="H254" s="62"/>
      <c r="I254" s="62"/>
      <c r="J254" s="62"/>
      <c r="K254" s="62"/>
      <c r="L254" s="62"/>
      <c r="M254" s="62"/>
      <c r="N254" s="62"/>
      <c r="O254" s="62"/>
    </row>
    <row r="255" spans="1:15" ht="12" customHeight="1" hidden="1">
      <c r="A255" s="61"/>
      <c r="C255" s="63"/>
      <c r="D255" s="62"/>
      <c r="E255" s="62"/>
      <c r="F255" s="62"/>
      <c r="G255" s="62"/>
      <c r="H255" s="62"/>
      <c r="I255" s="62"/>
      <c r="J255" s="62"/>
      <c r="K255" s="62"/>
      <c r="L255" s="62"/>
      <c r="M255" s="62"/>
      <c r="N255" s="62"/>
      <c r="O255" s="62"/>
    </row>
    <row r="256" spans="1:15" ht="12" customHeight="1" hidden="1">
      <c r="A256" s="61"/>
      <c r="B256" s="69" t="str">
        <f>IF(Info!H13&gt;2.5,"Please, check the sum LSı and LŞ+Lvi or Lpi.",IF(Info!H13&gt;1.5,"Bitte kontrollieren Sie die Summe LSı und LŞ+Lvi oder Lpi. ","Lütfen, LSı ile LŞ+LVi veya LPi kontrol ediniz."))</f>
        <v>Lütfen, LSı ile LŞ+LVi veya LPi kontrol ediniz.</v>
      </c>
      <c r="C256" s="63"/>
      <c r="D256" s="62"/>
      <c r="E256" s="62"/>
      <c r="F256" s="62"/>
      <c r="G256" s="62"/>
      <c r="H256" s="62"/>
      <c r="I256" s="62"/>
      <c r="J256" s="62"/>
      <c r="K256" s="62"/>
      <c r="L256" s="62"/>
      <c r="M256" s="62"/>
      <c r="N256" s="62"/>
      <c r="O256" s="62"/>
    </row>
    <row r="257" spans="1:15" ht="12" customHeight="1" hidden="1">
      <c r="A257" s="61"/>
      <c r="B257" s="69" t="str">
        <f>IF(Info!H13&gt;2.5,"Please, check the sum LSı and L1+L2.",IF(Info!H13&gt;1.5,"Bitte kontrollieren Sie die Summe LSı und L1+L2.","Lütfen, LSı ile L1+L2 yi kontrol ediniz."))</f>
        <v>Lütfen, LSı ile L1+L2 yi kontrol ediniz.</v>
      </c>
      <c r="C257" s="63"/>
      <c r="D257" s="62"/>
      <c r="E257" s="62"/>
      <c r="F257" s="62"/>
      <c r="G257" s="62"/>
      <c r="H257" s="62"/>
      <c r="I257" s="62"/>
      <c r="J257" s="62"/>
      <c r="K257" s="62"/>
      <c r="L257" s="62"/>
      <c r="M257" s="62"/>
      <c r="N257" s="62"/>
      <c r="O257" s="62"/>
    </row>
    <row r="258" spans="1:15" ht="12" customHeight="1" hidden="1">
      <c r="A258" s="61"/>
      <c r="B258" s="69" t="str">
        <f>IF(Info!H13&gt;2.5,"It is the endurance control in this program that an end compensated thread has valid as the screws.",IF(Info!H13&gt;1.5,"Die Dauerfestigkeitskontrolle in diesem Programm ist für die Schraube gültig, die ein schlussvergütetes Gewinde hat.","Bu programdaki devamlı mukavemet hesabı, civata kafası presleme ve vida ovalama metoduyla imal edilmiş vede imalat bitiminde islah edilmiş civatalar için geçerlidir."))</f>
        <v>Bu programdaki devamlı mukavemet hesabı, civata kafası presleme ve vida ovalama metoduyla imal edilmiş vede imalat bitiminde islah edilmiş civatalar için geçerlidir.</v>
      </c>
      <c r="C258" s="63"/>
      <c r="D258" s="62"/>
      <c r="E258" s="62"/>
      <c r="F258" s="62"/>
      <c r="G258" s="62"/>
      <c r="H258" s="62"/>
      <c r="I258" s="62"/>
      <c r="J258" s="62"/>
      <c r="K258" s="62"/>
      <c r="L258" s="62"/>
      <c r="M258" s="62"/>
      <c r="N258" s="62"/>
      <c r="O258" s="62"/>
    </row>
    <row r="259" spans="1:15" ht="12" customHeight="1" hidden="1">
      <c r="A259" s="61"/>
      <c r="B259" s="62" t="str">
        <f>IF(Info!H13&gt;2.5,"Do you have a rough draft where all dimensions are specified?",IF(Info!H13&gt;1.5,"Haben Sie eine Skizze aus der alle Grössen ersichtlich sind?","Bütün bilinenleri gösteren kroki var mı?"))</f>
        <v>Bütün bilinenleri gösteren kroki var mı?</v>
      </c>
      <c r="C259" s="63"/>
      <c r="D259" s="62"/>
      <c r="E259" s="62"/>
      <c r="F259" s="62"/>
      <c r="G259" s="62"/>
      <c r="H259" s="62"/>
      <c r="I259" s="62"/>
      <c r="J259" s="62"/>
      <c r="K259" s="62"/>
      <c r="L259" s="62"/>
      <c r="M259" s="62"/>
      <c r="N259" s="62"/>
      <c r="O259" s="62"/>
    </row>
    <row r="260" spans="1:15" ht="12" customHeight="1" hidden="1">
      <c r="A260" s="61"/>
      <c r="B260" s="70" t="str">
        <f>IF(Info!H13&gt;2.5,"Screw sticking strength FÖNM max is not sufficient.Screw is selected again.",IF(Info!H13&gt;1.5,"FÖNM max ist nicht genügend. Schraube wird neu ausgewählt.","Cıvatanın sıkıştırma kuvveti FÖNM max yeterlı değil. Cıvata yeniden seçilir."))</f>
        <v>Cıvatanın sıkıştırma kuvveti FÖNM max yeterlı değil. Cıvata yeniden seçilir.</v>
      </c>
      <c r="C260" s="62"/>
      <c r="D260" s="62"/>
      <c r="E260" s="62"/>
      <c r="F260" s="62"/>
      <c r="G260" s="62"/>
      <c r="H260" s="62"/>
      <c r="I260" s="62"/>
      <c r="J260" s="62"/>
      <c r="K260" s="62"/>
      <c r="L260" s="62"/>
      <c r="M260" s="62"/>
      <c r="N260" s="62"/>
      <c r="O260" s="62"/>
    </row>
    <row r="261" spans="1:15" ht="12" customHeight="1" hidden="1">
      <c r="A261" s="61"/>
      <c r="B261" s="62" t="str">
        <f>IF(Info!H13&gt;2.5,"Attracting torque and pre-tension are selected, depending on effort of the screw joint.",IF(Info!H13&gt;1.5,"Anziehdrehmoment und Vorspannkraft werden, je nach Einsatz der Verbindungung, ausgewählt.","Sıkıştırma momenti ve ön gerilme kuvveti ya tabeladan veya hesaplananmomente göre alınır."))</f>
        <v>Sıkıştırma momenti ve ön gerilme kuvveti ya tabeladan veya hesaplananmomente göre alınır.</v>
      </c>
      <c r="C261" s="62"/>
      <c r="D261" s="62"/>
      <c r="E261" s="62"/>
      <c r="F261" s="62"/>
      <c r="G261" s="62"/>
      <c r="H261" s="62"/>
      <c r="I261" s="62"/>
      <c r="J261" s="62"/>
      <c r="K261" s="62"/>
      <c r="L261" s="62"/>
      <c r="M261" s="62"/>
      <c r="N261" s="62"/>
      <c r="O261" s="62"/>
    </row>
    <row r="262" spans="1:15" ht="12" customHeight="1" hidden="1">
      <c r="A262" s="61"/>
      <c r="B262" s="62" t="str">
        <f>IF(Info!H13&gt;2.5,"Depending on screw joint kind, computes either according to the theorie or according to literature.",IF(Info!H13&gt;1.5,"Je nach Verschraubungsart, wird entweder nach den gegebenen Theori oder nach Literatur berechnet.","Bağlantının durumuna göre, ya verilmis teoriye, veya literatüre göre hesaplanır."))</f>
        <v>Bağlantının durumuna göre, ya verilmis teoriye, veya literatüre göre hesaplanır.</v>
      </c>
      <c r="C262" s="63"/>
      <c r="D262" s="62"/>
      <c r="E262" s="62"/>
      <c r="F262" s="62"/>
      <c r="G262" s="62"/>
      <c r="H262" s="62"/>
      <c r="I262" s="62"/>
      <c r="J262" s="62"/>
      <c r="K262" s="62"/>
      <c r="L262" s="62"/>
      <c r="M262" s="62"/>
      <c r="N262" s="62"/>
      <c r="O262" s="62"/>
    </row>
    <row r="263" spans="1:15" ht="12" customHeight="1" hidden="1">
      <c r="A263" s="61"/>
      <c r="B263" s="62" t="str">
        <f>IF(Info!H13&gt;2.5,"Combination loosens. Do you agree?",IF(Info!H13&gt;1.5,"Verbindung lockert sich, sind Sie einverstanden?","Bağlantı gevşiyor. Kabul ediyor musunuz?"))</f>
        <v>Bağlantı gevşiyor. Kabul ediyor musunuz?</v>
      </c>
      <c r="C263" s="63"/>
      <c r="D263" s="62"/>
      <c r="E263" s="62"/>
      <c r="F263" s="62"/>
      <c r="G263" s="62"/>
      <c r="H263" s="62"/>
      <c r="I263" s="62"/>
      <c r="J263" s="62"/>
      <c r="K263" s="62"/>
      <c r="L263" s="62"/>
      <c r="M263" s="62"/>
      <c r="N263" s="62"/>
      <c r="O263" s="62"/>
    </row>
    <row r="264" spans="1:15" ht="12" customHeight="1" hidden="1">
      <c r="A264" s="61"/>
      <c r="B264" s="67"/>
      <c r="C264" s="63"/>
      <c r="D264" s="62"/>
      <c r="E264" s="62"/>
      <c r="F264" s="62"/>
      <c r="G264" s="62"/>
      <c r="H264" s="62"/>
      <c r="I264" s="62"/>
      <c r="J264" s="62"/>
      <c r="K264" s="62"/>
      <c r="L264" s="62"/>
      <c r="M264" s="62"/>
      <c r="N264" s="62"/>
      <c r="O264" s="62"/>
    </row>
    <row r="265" spans="1:15" ht="12" customHeight="1" hidden="1">
      <c r="A265" s="61"/>
      <c r="B265" s="67"/>
      <c r="C265" s="63"/>
      <c r="D265" s="62"/>
      <c r="E265" s="62"/>
      <c r="F265" s="62"/>
      <c r="G265" s="62"/>
      <c r="H265" s="62"/>
      <c r="I265" s="62"/>
      <c r="J265" s="62"/>
      <c r="K265" s="62"/>
      <c r="L265" s="62"/>
      <c r="M265" s="62"/>
      <c r="N265" s="62"/>
      <c r="O265" s="62"/>
    </row>
    <row r="266" spans="1:15" ht="12" customHeight="1" hidden="1">
      <c r="A266" s="61"/>
      <c r="B266" s="67"/>
      <c r="C266" s="63"/>
      <c r="D266" s="62"/>
      <c r="E266" s="62"/>
      <c r="F266" s="62"/>
      <c r="G266" s="62"/>
      <c r="H266" s="62"/>
      <c r="I266" s="62"/>
      <c r="J266" s="62"/>
      <c r="K266" s="62"/>
      <c r="L266" s="62"/>
      <c r="M266" s="62"/>
      <c r="N266" s="62"/>
      <c r="O266" s="62"/>
    </row>
    <row r="267" spans="1:15" ht="12" customHeight="1" hidden="1">
      <c r="A267" s="61"/>
      <c r="B267" s="71"/>
      <c r="C267" s="71"/>
      <c r="D267" s="62"/>
      <c r="E267" s="62"/>
      <c r="F267" s="62"/>
      <c r="G267" s="62"/>
      <c r="H267" s="62"/>
      <c r="I267" s="62"/>
      <c r="J267" s="62"/>
      <c r="K267" s="62"/>
      <c r="L267" s="62"/>
      <c r="M267" s="62"/>
      <c r="N267" s="62"/>
      <c r="O267" s="62"/>
    </row>
    <row r="268" spans="1:15" ht="12" customHeight="1" hidden="1">
      <c r="A268" s="61"/>
      <c r="B268" s="72"/>
      <c r="C268" s="71"/>
      <c r="D268" s="71"/>
      <c r="E268" s="71"/>
      <c r="F268" s="71"/>
      <c r="G268" s="71"/>
      <c r="H268" s="71"/>
      <c r="I268" s="71"/>
      <c r="J268" s="71"/>
      <c r="K268" s="68"/>
      <c r="L268" s="68"/>
      <c r="M268" s="68"/>
      <c r="N268" s="68"/>
      <c r="O268" s="62"/>
    </row>
    <row r="269" spans="1:15" ht="12" customHeight="1" hidden="1">
      <c r="A269" s="61"/>
      <c r="B269" s="72"/>
      <c r="C269" s="71"/>
      <c r="D269" s="71"/>
      <c r="E269" s="71"/>
      <c r="F269" s="71"/>
      <c r="G269" s="71"/>
      <c r="H269" s="71"/>
      <c r="I269" s="71"/>
      <c r="J269" s="71"/>
      <c r="K269" s="68"/>
      <c r="L269" s="68"/>
      <c r="M269" s="68"/>
      <c r="N269" s="68"/>
      <c r="O269" s="62"/>
    </row>
    <row r="270" spans="1:15" ht="12" customHeight="1" hidden="1">
      <c r="A270" s="61"/>
      <c r="B270" s="72"/>
      <c r="C270" s="67"/>
      <c r="D270" s="67"/>
      <c r="E270" s="67"/>
      <c r="F270" s="67"/>
      <c r="G270" s="67"/>
      <c r="H270" s="67"/>
      <c r="I270" s="67"/>
      <c r="J270" s="67"/>
      <c r="K270" s="67"/>
      <c r="L270" s="67"/>
      <c r="M270" s="67"/>
      <c r="N270" s="67"/>
      <c r="O270" s="62"/>
    </row>
    <row r="271" spans="1:15" ht="12" customHeight="1" hidden="1">
      <c r="A271" s="61"/>
      <c r="B271" s="62"/>
      <c r="C271" s="63"/>
      <c r="D271" s="62"/>
      <c r="E271" s="62"/>
      <c r="F271" s="62"/>
      <c r="G271" s="62"/>
      <c r="H271" s="62"/>
      <c r="I271" s="62"/>
      <c r="J271" s="62"/>
      <c r="K271" s="62"/>
      <c r="L271" s="62"/>
      <c r="M271" s="62"/>
      <c r="N271" s="62"/>
      <c r="O271" s="62"/>
    </row>
    <row r="272" spans="1:15" ht="12" customHeight="1" hidden="1">
      <c r="A272" s="61"/>
      <c r="B272" s="62"/>
      <c r="C272" s="63"/>
      <c r="D272" s="62"/>
      <c r="E272" s="62"/>
      <c r="F272" s="62"/>
      <c r="G272" s="62"/>
      <c r="H272" s="62"/>
      <c r="I272" s="62"/>
      <c r="J272" s="62"/>
      <c r="K272" s="62"/>
      <c r="L272" s="62"/>
      <c r="M272" s="62"/>
      <c r="N272" s="62"/>
      <c r="O272" s="62"/>
    </row>
    <row r="273" spans="1:15" ht="12" customHeight="1" hidden="1">
      <c r="A273" s="61"/>
      <c r="B273" s="62"/>
      <c r="C273" s="63"/>
      <c r="D273" s="62"/>
      <c r="E273" s="62"/>
      <c r="F273" s="62"/>
      <c r="G273" s="62"/>
      <c r="H273" s="62"/>
      <c r="I273" s="62"/>
      <c r="J273" s="62"/>
      <c r="K273" s="62"/>
      <c r="L273" s="62"/>
      <c r="M273" s="62"/>
      <c r="N273" s="62"/>
      <c r="O273" s="62"/>
    </row>
    <row r="274" spans="1:15" ht="12" customHeight="1" hidden="1">
      <c r="A274" s="61"/>
      <c r="B274" s="62"/>
      <c r="C274" s="63"/>
      <c r="D274" s="62"/>
      <c r="E274" s="62"/>
      <c r="F274" s="62"/>
      <c r="G274" s="62"/>
      <c r="H274" s="62"/>
      <c r="I274" s="62"/>
      <c r="J274" s="62"/>
      <c r="K274" s="62"/>
      <c r="L274" s="62"/>
      <c r="M274" s="62"/>
      <c r="N274" s="62"/>
      <c r="O274" s="62"/>
    </row>
    <row r="275" spans="1:15" ht="12" customHeight="1" hidden="1">
      <c r="A275" s="61"/>
      <c r="B275" s="62"/>
      <c r="C275" s="63"/>
      <c r="D275" s="62"/>
      <c r="E275" s="62"/>
      <c r="F275" s="62"/>
      <c r="G275" s="62"/>
      <c r="H275" s="62"/>
      <c r="I275" s="62"/>
      <c r="J275" s="62"/>
      <c r="K275" s="62"/>
      <c r="L275" s="62"/>
      <c r="M275" s="62"/>
      <c r="N275" s="62"/>
      <c r="O275" s="62"/>
    </row>
    <row r="276" spans="1:15" ht="12" customHeight="1" hidden="1">
      <c r="A276" s="61"/>
      <c r="B276" s="62"/>
      <c r="C276" s="63"/>
      <c r="D276" s="62"/>
      <c r="E276" s="62"/>
      <c r="F276" s="62"/>
      <c r="G276" s="62"/>
      <c r="H276" s="62"/>
      <c r="I276" s="62"/>
      <c r="J276" s="62"/>
      <c r="K276" s="62"/>
      <c r="L276" s="62"/>
      <c r="M276" s="62"/>
      <c r="N276" s="62"/>
      <c r="O276" s="62"/>
    </row>
    <row r="277" spans="1:15" ht="12" customHeight="1" hidden="1">
      <c r="A277" s="61"/>
      <c r="B277" s="62"/>
      <c r="C277" s="63"/>
      <c r="D277" s="62"/>
      <c r="E277" s="62"/>
      <c r="F277" s="62"/>
      <c r="G277" s="62"/>
      <c r="H277" s="62"/>
      <c r="I277" s="62"/>
      <c r="J277" s="62"/>
      <c r="K277" s="62"/>
      <c r="L277" s="62"/>
      <c r="M277" s="62"/>
      <c r="N277" s="62"/>
      <c r="O277" s="62"/>
    </row>
    <row r="278" spans="1:15" ht="12" customHeight="1" hidden="1">
      <c r="A278" s="61"/>
      <c r="B278" s="62"/>
      <c r="C278" s="63"/>
      <c r="D278" s="62"/>
      <c r="E278" s="62"/>
      <c r="F278" s="62"/>
      <c r="G278" s="62"/>
      <c r="H278" s="62"/>
      <c r="I278" s="62"/>
      <c r="J278" s="62"/>
      <c r="K278" s="62"/>
      <c r="L278" s="62"/>
      <c r="M278" s="62"/>
      <c r="N278" s="62"/>
      <c r="O278" s="62"/>
    </row>
    <row r="279" spans="1:15" ht="12" customHeight="1" hidden="1">
      <c r="A279" s="61"/>
      <c r="B279" s="62"/>
      <c r="C279" s="63"/>
      <c r="D279" s="62"/>
      <c r="E279" s="62"/>
      <c r="F279" s="62"/>
      <c r="G279" s="62"/>
      <c r="H279" s="62"/>
      <c r="I279" s="62"/>
      <c r="J279" s="62"/>
      <c r="K279" s="62"/>
      <c r="L279" s="62"/>
      <c r="M279" s="62"/>
      <c r="N279" s="62"/>
      <c r="O279" s="62"/>
    </row>
    <row r="280" spans="1:15" ht="12" customHeight="1" hidden="1">
      <c r="A280" s="61"/>
      <c r="B280" s="62"/>
      <c r="C280" s="63"/>
      <c r="D280" s="62"/>
      <c r="E280" s="62"/>
      <c r="F280" s="62"/>
      <c r="G280" s="62"/>
      <c r="H280" s="62"/>
      <c r="I280" s="62"/>
      <c r="J280" s="62"/>
      <c r="K280" s="62"/>
      <c r="L280" s="62"/>
      <c r="M280" s="62"/>
      <c r="N280" s="62"/>
      <c r="O280" s="62"/>
    </row>
    <row r="281" spans="1:15" ht="12" customHeight="1" hidden="1">
      <c r="A281" s="61"/>
      <c r="B281" s="62"/>
      <c r="C281" s="63"/>
      <c r="D281" s="62"/>
      <c r="E281" s="62"/>
      <c r="F281" s="62"/>
      <c r="G281" s="62"/>
      <c r="H281" s="62"/>
      <c r="I281" s="62"/>
      <c r="J281" s="62"/>
      <c r="K281" s="62"/>
      <c r="L281" s="62"/>
      <c r="M281" s="62"/>
      <c r="N281" s="62"/>
      <c r="O281" s="62"/>
    </row>
    <row r="282" spans="1:15" ht="12" customHeight="1" hidden="1">
      <c r="A282" s="61"/>
      <c r="B282" s="62"/>
      <c r="C282" s="63"/>
      <c r="D282" s="62"/>
      <c r="E282" s="62"/>
      <c r="F282" s="62"/>
      <c r="G282" s="62"/>
      <c r="H282" s="62"/>
      <c r="I282" s="62"/>
      <c r="J282" s="62"/>
      <c r="K282" s="62"/>
      <c r="L282" s="62"/>
      <c r="M282" s="62"/>
      <c r="N282" s="62"/>
      <c r="O282" s="62"/>
    </row>
    <row r="283" ht="12" customHeight="1" hidden="1"/>
    <row r="284" ht="12" customHeight="1" hidden="1"/>
    <row r="285" ht="12" customHeight="1" hidden="1"/>
    <row r="286" ht="12" customHeight="1" hidden="1"/>
    <row r="287" ht="12" customHeight="1" hidden="1"/>
    <row r="288" ht="12" customHeight="1" hidden="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sheetData>
  <sheetProtection password="EF77" sheet="1" objects="1" scenarios="1"/>
  <mergeCells count="34">
    <mergeCell ref="T2:AD2"/>
    <mergeCell ref="T3:AD3"/>
    <mergeCell ref="C4:N5"/>
    <mergeCell ref="T5:AE6"/>
    <mergeCell ref="AG5:AR5"/>
    <mergeCell ref="AG6:AR6"/>
    <mergeCell ref="C7:N8"/>
    <mergeCell ref="T7:AE8"/>
    <mergeCell ref="AG7:AR7"/>
    <mergeCell ref="T9:AE10"/>
    <mergeCell ref="AG9:AR12"/>
    <mergeCell ref="C10:N11"/>
    <mergeCell ref="T11:AE12"/>
    <mergeCell ref="C13:N15"/>
    <mergeCell ref="T13:AE14"/>
    <mergeCell ref="AG13:AR16"/>
    <mergeCell ref="T15:AE16"/>
    <mergeCell ref="C16:N17"/>
    <mergeCell ref="T17:AE18"/>
    <mergeCell ref="AG17:AR20"/>
    <mergeCell ref="C18:N18"/>
    <mergeCell ref="T19:AE20"/>
    <mergeCell ref="C20:N23"/>
    <mergeCell ref="AG25:AR26"/>
    <mergeCell ref="T26:AE26"/>
    <mergeCell ref="T21:AE21"/>
    <mergeCell ref="AG21:AR22"/>
    <mergeCell ref="T22:AE23"/>
    <mergeCell ref="AG23:AR24"/>
    <mergeCell ref="T27:AD28"/>
    <mergeCell ref="T29:AD30"/>
    <mergeCell ref="T31:AD32"/>
    <mergeCell ref="C24:N25"/>
    <mergeCell ref="T24:AE25"/>
  </mergeCells>
  <printOptions horizontalCentered="1"/>
  <pageMargins left="0.7875" right="0.7875" top="0.7875" bottom="0.7875" header="0.5118055555555555" footer="0.5118055555555555"/>
  <pageSetup horizontalDpi="300" verticalDpi="300" orientation="landscape" paperSize="9" scale="85"/>
  <headerFooter alignWithMargins="0">
    <oddFooter>&amp;L&amp;D/&amp;F/&amp;A&amp;R&amp;P - &amp;N</oddFooter>
  </headerFooter>
</worksheet>
</file>

<file path=xl/worksheets/sheet3.xml><?xml version="1.0" encoding="utf-8"?>
<worksheet xmlns="http://schemas.openxmlformats.org/spreadsheetml/2006/main" xmlns:r="http://schemas.openxmlformats.org/officeDocument/2006/relationships">
  <dimension ref="A1:U60"/>
  <sheetViews>
    <sheetView showGridLines="0" showRowColHeaders="0" workbookViewId="0" topLeftCell="A1">
      <selection activeCell="K50" sqref="K50"/>
    </sheetView>
  </sheetViews>
  <sheetFormatPr defaultColWidth="11.421875" defaultRowHeight="12.75"/>
  <cols>
    <col min="1" max="1" width="2.140625" style="2" customWidth="1"/>
    <col min="2" max="2" width="11.421875" style="2" customWidth="1"/>
    <col min="3" max="3" width="8.140625" style="2" customWidth="1"/>
    <col min="4" max="4" width="11.57421875" style="2" customWidth="1"/>
    <col min="5" max="5" width="8.7109375" style="2" customWidth="1"/>
    <col min="6" max="6" width="12.7109375" style="2" customWidth="1"/>
    <col min="7" max="7" width="7.7109375" style="2" customWidth="1"/>
    <col min="8" max="8" width="12.7109375" style="2" customWidth="1"/>
    <col min="9" max="9" width="3.421875" style="2" customWidth="1"/>
    <col min="10" max="12" width="7.7109375" style="2" customWidth="1"/>
    <col min="13" max="13" width="17.421875" style="2" customWidth="1"/>
    <col min="14" max="14" width="7.7109375" style="2" customWidth="1"/>
    <col min="15" max="15" width="9.57421875" style="2" customWidth="1"/>
    <col min="16" max="16" width="7.7109375" style="2" customWidth="1"/>
    <col min="17" max="17" width="12.7109375" style="2" customWidth="1"/>
    <col min="18" max="18" width="3.28125" style="2" customWidth="1"/>
    <col min="19" max="19" width="3.00390625" style="2" customWidth="1"/>
    <col min="20" max="20" width="8.57421875" style="2" customWidth="1"/>
    <col min="21" max="16384" width="11.421875" style="2" customWidth="1"/>
  </cols>
  <sheetData>
    <row r="1" spans="2:13" ht="18" customHeight="1">
      <c r="B1" s="73" t="str">
        <f>0!B156</f>
        <v>Proje :</v>
      </c>
      <c r="C1" s="74" t="s">
        <v>44</v>
      </c>
      <c r="D1" s="74"/>
      <c r="E1" s="74"/>
      <c r="F1" s="74"/>
      <c r="G1" s="74"/>
      <c r="H1" s="74"/>
      <c r="I1" s="74"/>
      <c r="J1" s="74"/>
      <c r="K1" s="74"/>
      <c r="M1" s="7" t="str">
        <f>Info!N11</f>
        <v>Copyright : M. G. Kutay , Ver 2013.01</v>
      </c>
    </row>
    <row r="2" spans="13:14" ht="18" customHeight="1">
      <c r="M2" s="6" t="str">
        <f>Info!B11</f>
        <v>www.guven-kutay.ch</v>
      </c>
      <c r="N2" s="75"/>
    </row>
    <row r="3" spans="2:14" ht="18" customHeight="1">
      <c r="B3" s="75" t="str">
        <f>0!B236</f>
        <v>1. Ön germeli cıvataların kabaca seçimi</v>
      </c>
      <c r="M3" s="76"/>
      <c r="N3" s="76"/>
    </row>
    <row r="4" spans="2:16" ht="18" customHeight="1">
      <c r="B4" s="77" t="str">
        <f>IF(Info!$H$13&gt;2.5,"Operating data and quality of the screw :",IF(Info!$H$13&gt;1.5,"Betriebsdaten und qualität der Schraube:","İşletme değerleri ve cıvata kalitesi:"))</f>
        <v>İşletme değerleri ve cıvata kalitesi:</v>
      </c>
      <c r="C4" s="78"/>
      <c r="D4" s="78"/>
      <c r="E4" s="78"/>
      <c r="F4" s="78"/>
      <c r="G4" s="78"/>
      <c r="H4" s="35"/>
      <c r="J4" s="79" t="str">
        <f>IF(Info!$H$13&gt;2.5,"Control for dyn. operating force ",IF(Info!$H$13&gt;1.5,"Kontrolle der dyn. Belastung","Dinamik yükleme kontrolü"))</f>
        <v>Dinamik yükleme kontrolü</v>
      </c>
      <c r="K4" s="78"/>
      <c r="L4" s="78"/>
      <c r="M4" s="78"/>
      <c r="N4" s="78"/>
      <c r="O4" s="78"/>
      <c r="P4" s="78"/>
    </row>
    <row r="5" spans="2:16" ht="18" customHeight="1">
      <c r="B5" s="2" t="str">
        <f>IF(Info!H13&gt;2.5,"Operating force of a screw",IF(Info!H13&gt;1.5,"Betriebskraft einer Schraube","İşletme kuvveti"))</f>
        <v>İşletme kuvveti</v>
      </c>
      <c r="E5" s="73" t="s">
        <v>45</v>
      </c>
      <c r="F5" s="80">
        <v>7.5</v>
      </c>
      <c r="G5" s="2" t="s">
        <v>46</v>
      </c>
      <c r="J5" s="81" t="str">
        <f>IF(Info!$H$13&gt;2.5,"Cyclic strength of the screw",IF(Info!$H$13&gt;1.5,"Ausschlagkraft der Schraube","Cıvatayı etkileyen genlik kuvveti"))</f>
        <v>Cıvatayı etkileyen genlik kuvveti</v>
      </c>
      <c r="N5" s="82" t="s">
        <v>47</v>
      </c>
      <c r="O5" s="83">
        <f>0.5*(F5-F6)*F23*10^3</f>
        <v>918.75</v>
      </c>
      <c r="P5" s="2" t="s">
        <v>48</v>
      </c>
    </row>
    <row r="6" spans="5:16" ht="18" customHeight="1">
      <c r="E6" s="73" t="s">
        <v>49</v>
      </c>
      <c r="F6" s="80">
        <v>2.25</v>
      </c>
      <c r="G6" s="2" t="s">
        <v>46</v>
      </c>
      <c r="J6" s="84" t="str">
        <f>IF(Info!H13&gt;2.5,"Available high-powered swing tension",IF(Info!H13&gt;1.5,"vorh. dynamische Ausschlagsspannung","Genlik gerilimi"))</f>
        <v>Genlik gerilimi</v>
      </c>
      <c r="N6" s="85" t="s">
        <v>50</v>
      </c>
      <c r="O6" s="83">
        <f>O5/F18</f>
        <v>12.049654412632629</v>
      </c>
      <c r="P6" s="2" t="s">
        <v>51</v>
      </c>
    </row>
    <row r="7" spans="2:18" ht="18" customHeight="1">
      <c r="B7" s="2" t="str">
        <f>IF(Info!H13&gt;2.5,"Load case   ",IF(Info!H13&gt;1.5,"Belastungsart","Zorlama hali"))</f>
        <v>Zorlama hali</v>
      </c>
      <c r="F7" s="86" t="s">
        <v>52</v>
      </c>
      <c r="J7" s="84" t="str">
        <f>IF(Info!H13&gt;2.5,"Permissible high-powered swing tension",IF(Info!H13&gt;1.5,"zulässige dynamische Ausschlagsfestigkeit","Emniyetli genlik mukavemeti"))</f>
        <v>Emniyetli genlik mukavemeti</v>
      </c>
      <c r="N7" s="85" t="s">
        <v>53</v>
      </c>
      <c r="O7" s="87">
        <v>50</v>
      </c>
      <c r="P7" s="2" t="s">
        <v>51</v>
      </c>
      <c r="Q7" s="88" t="s">
        <v>54</v>
      </c>
      <c r="R7" s="89"/>
    </row>
    <row r="8" spans="2:13" ht="18" customHeight="1">
      <c r="B8" s="7" t="str">
        <f>IF(Info!H13&gt;2.5,"Screw quality",IF(Info!H13&gt;1.5,"Schraubenqualität","Cıvatanın kalitesi"))</f>
        <v>Cıvatanın kalitesi</v>
      </c>
      <c r="F8" s="90">
        <v>8.8</v>
      </c>
      <c r="J8" s="91" t="str">
        <f>IF(Info!$H$13&gt;2.5,B37,IF(Info!$H$13&gt;1.5,B36,B35))</f>
        <v>Bağlantı emniyetli</v>
      </c>
      <c r="K8" s="91"/>
      <c r="L8" s="91"/>
      <c r="M8" s="91"/>
    </row>
    <row r="9" spans="2:16" ht="18" customHeight="1">
      <c r="B9" s="79" t="str">
        <f>IF(Info!H13&gt;2.5,"Preselection of the screw",IF(Info!H13&gt;1.5,"Vorwahl der Schraube","Cıvatanın ön seçimi"))</f>
        <v>Cıvatanın ön seçimi</v>
      </c>
      <c r="C9" s="78"/>
      <c r="D9" s="78"/>
      <c r="E9" s="78"/>
      <c r="F9" s="78"/>
      <c r="G9" s="78"/>
      <c r="H9" s="92"/>
      <c r="J9" s="79" t="str">
        <f>IF(Info!$H$13&gt;2.5,"Control for sta. operating force ",IF(Info!$H$13&gt;1.5,"Kontrolle der sta. Belastung","Statik yükleme kontrolü"))</f>
        <v>Statik yükleme kontrolü</v>
      </c>
      <c r="K9" s="78"/>
      <c r="L9" s="78"/>
      <c r="M9" s="78"/>
      <c r="N9" s="78"/>
      <c r="O9" s="78"/>
      <c r="P9" s="78"/>
    </row>
    <row r="10" spans="2:16" ht="18" customHeight="1">
      <c r="B10" s="7" t="str">
        <f>IF(Info!H13&gt;2.5,"Nominal size of screw:",IF(Info!H13&gt;1.5,"Nenndurchmesser der Schraube:","Cıvatanın anma çapı"))</f>
        <v>Cıvatanın anma çapı</v>
      </c>
      <c r="E10" s="59" t="s">
        <v>55</v>
      </c>
      <c r="F10" s="93">
        <v>12</v>
      </c>
      <c r="G10" s="2" t="s">
        <v>56</v>
      </c>
      <c r="H10" s="89" t="s">
        <v>57</v>
      </c>
      <c r="J10" s="81" t="str">
        <f>IF(Info!$H$13&gt;2.5,"Supplementary strength of the screw",IF(Info!$H$13&gt;1.5,"Zusatzkraft der Schraube","Cıvatayı etkileyen ek kuvvet"))</f>
        <v>Cıvatayı etkileyen ek kuvvet</v>
      </c>
      <c r="N10" s="82" t="s">
        <v>58</v>
      </c>
      <c r="O10" s="83">
        <f>F5*F23*10^3</f>
        <v>2625</v>
      </c>
      <c r="P10" s="2" t="s">
        <v>48</v>
      </c>
    </row>
    <row r="11" spans="2:16" ht="18" customHeight="1">
      <c r="B11" s="7" t="str">
        <f>IF(Info!$H$13&gt;2.5,"Data of the 1. part",IF(Info!$H$13&gt;1.5,"Daten der 1. Klemmteile","1. Parçarın değerleri"))</f>
        <v>1. Parçarın değerleri</v>
      </c>
      <c r="E11" s="59" t="s">
        <v>59</v>
      </c>
      <c r="F11" s="94">
        <v>15</v>
      </c>
      <c r="G11" s="2" t="s">
        <v>56</v>
      </c>
      <c r="J11" s="81" t="str">
        <f>IF(Info!$H$13&gt;2.5,"Supplementary strength of the screw",IF(Info!$H$13&gt;1.5,"Zusatzkraft der Schraube","Cıvatayı etkileyen ek kuvvet"))</f>
        <v>Cıvatayı etkileyen ek kuvvet</v>
      </c>
      <c r="N11" s="82" t="s">
        <v>58</v>
      </c>
      <c r="O11" s="83">
        <f>0.1*F17*F18</f>
        <v>4879.808</v>
      </c>
      <c r="P11" s="2" t="s">
        <v>48</v>
      </c>
    </row>
    <row r="12" spans="4:13" ht="18" customHeight="1">
      <c r="D12" s="87" t="s">
        <v>60</v>
      </c>
      <c r="E12" s="59" t="s">
        <v>61</v>
      </c>
      <c r="F12" s="95">
        <v>710</v>
      </c>
      <c r="G12" s="2" t="s">
        <v>51</v>
      </c>
      <c r="H12" s="89" t="s">
        <v>62</v>
      </c>
      <c r="J12" s="91" t="str">
        <f>IF(Info!$H$13&gt;2.5,G37,IF(Info!$H$13&gt;1.5,G36,G35))</f>
        <v>Bağlantı emniyetli</v>
      </c>
      <c r="K12" s="91"/>
      <c r="L12" s="91"/>
      <c r="M12" s="91"/>
    </row>
    <row r="13" spans="2:16" ht="18" customHeight="1">
      <c r="B13" s="7" t="str">
        <f>IF(Info!$H$13&gt;2.5,"Data of the 2. part",IF(Info!$H$13&gt;1.5,"Daten der 2. Klemmteile","2. Parçarın değerleri"))</f>
        <v>2. Parçarın değerleri</v>
      </c>
      <c r="E13" s="59" t="s">
        <v>63</v>
      </c>
      <c r="F13" s="94">
        <v>11</v>
      </c>
      <c r="G13" s="2" t="s">
        <v>56</v>
      </c>
      <c r="J13" s="79" t="str">
        <f>IF(Info!H13&gt;2.5,"Surface pressure control during operating  ",IF(Info!H13&gt;1.5,"Kontrolle der Flächenpressung im Betrieb","İşletmede temas yüzeyi basınci kontrolü"))</f>
        <v>İşletmede temas yüzeyi basınci kontrolü</v>
      </c>
      <c r="K13" s="78"/>
      <c r="L13" s="78"/>
      <c r="M13" s="78"/>
      <c r="N13" s="78"/>
      <c r="O13" s="78"/>
      <c r="P13" s="78"/>
    </row>
    <row r="14" spans="4:16" ht="18" customHeight="1">
      <c r="D14" s="87" t="s">
        <v>64</v>
      </c>
      <c r="E14" s="59" t="s">
        <v>65</v>
      </c>
      <c r="F14" s="95">
        <v>490</v>
      </c>
      <c r="G14" s="2" t="s">
        <v>51</v>
      </c>
      <c r="H14" s="89" t="str">
        <f>H12</f>
        <v>Tablo 14</v>
      </c>
      <c r="J14" s="2" t="str">
        <f>IF(Info!H13&gt;2.5,"Surface pressure during operating  ",IF(Info!H13&gt;1.5,"Flächenpressung im Betrieb","İşletmede temas yüzeyi bası gerilimi"))</f>
        <v>İşletmede temas yüzeyi bası gerilimi</v>
      </c>
      <c r="N14" s="59" t="s">
        <v>66</v>
      </c>
      <c r="O14" s="83">
        <f>(F22+F5*F23)/F19</f>
        <v>545.7384038199182</v>
      </c>
      <c r="P14" s="2" t="s">
        <v>51</v>
      </c>
    </row>
    <row r="15" spans="2:17" ht="18" customHeight="1">
      <c r="B15" s="7" t="str">
        <f>IF(Info!$H$13&gt;2.5,"Data of the 3. part",IF(Info!$H$13&gt;1.5,"Daten der 3. Klemmteile","3. Parçarın değerleri"))</f>
        <v>3. Parçarın değerleri</v>
      </c>
      <c r="E15" s="59" t="s">
        <v>67</v>
      </c>
      <c r="F15" s="94">
        <v>24</v>
      </c>
      <c r="G15" s="2" t="s">
        <v>56</v>
      </c>
      <c r="I15" s="96"/>
      <c r="J15" s="2" t="str">
        <f>IF(Info!H13&gt;2.5,"Surface pressure  ",IF(Info!H13&gt;1.5,"zulässige Flächenpressung","Emniyetli yüzey basıncı"))</f>
        <v>Emniyetli yüzey basıncı</v>
      </c>
      <c r="N15" s="59" t="s">
        <v>68</v>
      </c>
      <c r="O15" s="95">
        <v>710</v>
      </c>
      <c r="P15" s="2" t="s">
        <v>51</v>
      </c>
      <c r="Q15" s="89" t="str">
        <f>H12</f>
        <v>Tablo 14</v>
      </c>
    </row>
    <row r="16" spans="4:13" ht="18" customHeight="1">
      <c r="D16" s="87" t="s">
        <v>60</v>
      </c>
      <c r="E16" s="59" t="s">
        <v>69</v>
      </c>
      <c r="F16" s="95">
        <v>710</v>
      </c>
      <c r="G16" s="2" t="s">
        <v>51</v>
      </c>
      <c r="H16" s="89" t="str">
        <f>H12</f>
        <v>Tablo 14</v>
      </c>
      <c r="J16" s="91" t="str">
        <f>IF(Info!$H$13&gt;2.5,M37,IF(Info!$H$13&gt;1.5,M36,M35))</f>
        <v>Bağlantı emniyetli</v>
      </c>
      <c r="K16" s="91"/>
      <c r="L16" s="91"/>
      <c r="M16" s="91"/>
    </row>
    <row r="17" spans="2:16" ht="18" customHeight="1">
      <c r="B17" s="97" t="str">
        <f>IF(Info!H13&gt;2.5,"Yield stress of the screw ",IF(Info!H13&gt;1.5,"Streckgrenze der Schraube","Cıvatanın akma mukavemeti"))</f>
        <v>Cıvatanın akma mukavemeti</v>
      </c>
      <c r="E17" s="82" t="s">
        <v>70</v>
      </c>
      <c r="F17" s="95">
        <v>640</v>
      </c>
      <c r="G17" s="2" t="s">
        <v>51</v>
      </c>
      <c r="H17" s="89" t="s">
        <v>71</v>
      </c>
      <c r="I17" s="96"/>
      <c r="J17" s="79" t="str">
        <f>IF(Info!$H$13&gt;2.5,"Control for dyn. operating force ",IF(Info!$H$13&gt;1.5,"Kontrolle der Lockerung","Gevşeme kontrolü"))</f>
        <v>Gevşeme kontrolü</v>
      </c>
      <c r="K17" s="78"/>
      <c r="L17" s="78"/>
      <c r="M17" s="78"/>
      <c r="N17" s="78"/>
      <c r="O17" s="78"/>
      <c r="P17" s="78"/>
    </row>
    <row r="18" spans="2:16" ht="18" customHeight="1">
      <c r="B18" s="2" t="str">
        <f>IF(Info!H13&gt;2.5,"Minor area",IF(Info!H13&gt;1.5,"Kernfläche","Dişdibi alanı"))</f>
        <v>Dişdibi alanı</v>
      </c>
      <c r="E18" s="59" t="s">
        <v>72</v>
      </c>
      <c r="F18" s="98">
        <v>76.247</v>
      </c>
      <c r="G18" s="2" t="s">
        <v>73</v>
      </c>
      <c r="H18" s="89" t="s">
        <v>74</v>
      </c>
      <c r="I18" s="96"/>
      <c r="J18" s="2" t="s">
        <v>75</v>
      </c>
      <c r="O18" s="83">
        <f>4*F10</f>
        <v>48</v>
      </c>
      <c r="P18" s="2" t="s">
        <v>56</v>
      </c>
    </row>
    <row r="19" spans="2:16" ht="18" customHeight="1">
      <c r="B19" s="2" t="str">
        <f>IF(Info!H13&gt;2.5,"Pressure face of the screw ",IF(Info!H13&gt;1.5,"Druckfläche der Schraube","Cıvatanın bası alanı"))</f>
        <v>Cıvatanın bası alanı</v>
      </c>
      <c r="E19" s="59" t="s">
        <v>76</v>
      </c>
      <c r="F19" s="94">
        <v>73.3</v>
      </c>
      <c r="G19" s="2" t="s">
        <v>73</v>
      </c>
      <c r="H19" s="89" t="s">
        <v>77</v>
      </c>
      <c r="I19" s="96"/>
      <c r="J19" s="2" t="str">
        <f>IF(Info!H13&gt;2.5,"Surface pressure during operating  ",IF(Info!H13&gt;1.5,"Klemmlänge der Verbindung","Bağlantının sıkışma boyu"))</f>
        <v>Bağlantının sıkışma boyu</v>
      </c>
      <c r="O19" s="83">
        <f>F11+F13+F15</f>
        <v>50</v>
      </c>
      <c r="P19" s="2" t="s">
        <v>56</v>
      </c>
    </row>
    <row r="20" spans="2:13" ht="18" customHeight="1">
      <c r="B20" s="2" t="str">
        <f>IF(Info!H13&gt;2.5,"Tightening torque of the screw ",IF(Info!H13&gt;1.5,"Anziehdrehmoment der Schraube","Cıvatanın sıkma momemti"))</f>
        <v>Cıvatanın sıkma momemti</v>
      </c>
      <c r="E20" s="59" t="s">
        <v>78</v>
      </c>
      <c r="F20" s="99">
        <v>65</v>
      </c>
      <c r="G20" s="2" t="s">
        <v>79</v>
      </c>
      <c r="H20" s="89" t="s">
        <v>80</v>
      </c>
      <c r="J20" s="91" t="str">
        <f>IF(Info!$H$13&gt;2.5,G41,IF(Info!$H$13&gt;1.5,G40,G39))</f>
        <v>Bağlantı emniyetli</v>
      </c>
      <c r="K20" s="91"/>
      <c r="L20" s="91"/>
      <c r="M20" s="91"/>
    </row>
    <row r="21" spans="2:13" ht="18" customHeight="1">
      <c r="B21" s="2" t="str">
        <f>IF(Info!H13&gt;2.5,"Tightening torque tolerance ",IF(Info!H13&gt;1.5,"Anziehdrehmoment-Toleranzen","Cıvatanın moment toleransı"))</f>
        <v>Cıvatanın moment toleransı</v>
      </c>
      <c r="E21" s="100" t="s">
        <v>81</v>
      </c>
      <c r="F21" s="99">
        <v>15</v>
      </c>
      <c r="G21" s="2" t="s">
        <v>79</v>
      </c>
      <c r="H21" s="89"/>
      <c r="J21" s="101"/>
      <c r="K21" s="101"/>
      <c r="L21" s="101"/>
      <c r="M21" s="101"/>
    </row>
    <row r="22" spans="2:8" ht="18" customHeight="1">
      <c r="B22" s="2" t="str">
        <f>IF(Info!H13&gt;2.5,"Preload force of the screw ",IF(Info!H13&gt;1.5,"Vorspannkraft der Schraube","Cıvatanın max germe kuvveti"))</f>
        <v>Cıvatanın max germe kuvveti</v>
      </c>
      <c r="E22" s="59" t="s">
        <v>82</v>
      </c>
      <c r="F22" s="99">
        <v>40000</v>
      </c>
      <c r="G22" s="2" t="s">
        <v>48</v>
      </c>
      <c r="H22" s="89" t="str">
        <f>H20</f>
        <v>Tablo 15</v>
      </c>
    </row>
    <row r="23" spans="2:17" ht="18" customHeight="1">
      <c r="B23" s="97" t="str">
        <f>IF(Info!H13&gt;2.5,"Strength proportion factor",IF(Info!H13&gt;1.5,"Kraftverhältnisfaktor","Kuvvet oranı faktörü"))</f>
        <v>Kuvvet oranı faktörü</v>
      </c>
      <c r="E23" s="102" t="s">
        <v>83</v>
      </c>
      <c r="F23" s="103">
        <v>0.35</v>
      </c>
      <c r="G23" s="2" t="s">
        <v>84</v>
      </c>
      <c r="H23" s="89"/>
      <c r="J23" s="104" t="str">
        <f>IF(Info!$H$13&gt;2.5,B33,IF(Info!$H$13&gt;1.5,B32,B31))</f>
        <v>Cıvata seçimi doğru. İsterseniz hassas kontrolünü yapabilirsiniz.</v>
      </c>
      <c r="K23" s="105"/>
      <c r="L23" s="105"/>
      <c r="M23" s="105"/>
      <c r="N23" s="105"/>
      <c r="O23" s="105"/>
      <c r="P23" s="106"/>
      <c r="Q23" s="101"/>
    </row>
    <row r="24" spans="3:8" ht="18" customHeight="1">
      <c r="C24" s="30"/>
      <c r="D24" s="107" t="str">
        <f>IF(Info!H13&gt;2.5,"*)1 If no information",IF(Info!H13&gt;1.5,"*)1 Wenn keine Angabe ","*)1  Eğer bir şart koşulmamışsa"))</f>
        <v>*)1  Eğer bir şart koşulmamışsa</v>
      </c>
      <c r="E24" s="108" t="s">
        <v>85</v>
      </c>
      <c r="F24" s="109" t="str">
        <f>IF(Info!$H$13&gt;2.5,"enter.",IF(Info!$H$13&gt;1.5,"eingeben. ","değeri alınır."))</f>
        <v>değeri alınır.</v>
      </c>
      <c r="H24" s="101"/>
    </row>
    <row r="25" spans="2:17" ht="18" customHeight="1">
      <c r="B25" s="73" t="str">
        <f>IF(Info!$H$13&gt;2.5,"Remarks :",IF(Info!$H$13&gt;1.5,"Bemerkung :","Düşünceler :"))</f>
        <v>Düşünceler :</v>
      </c>
      <c r="C25" s="74"/>
      <c r="D25" s="74"/>
      <c r="E25" s="74"/>
      <c r="F25" s="74"/>
      <c r="G25" s="74"/>
      <c r="H25" s="74"/>
      <c r="I25" s="74"/>
      <c r="J25" s="74"/>
      <c r="K25" s="74"/>
      <c r="L25" s="74"/>
      <c r="M25" s="74"/>
      <c r="N25" s="74"/>
      <c r="O25" s="74"/>
      <c r="P25" s="74"/>
      <c r="Q25" s="101"/>
    </row>
    <row r="26" spans="3:17" ht="18" customHeight="1">
      <c r="C26" s="74"/>
      <c r="D26" s="74"/>
      <c r="E26" s="74"/>
      <c r="F26" s="74"/>
      <c r="G26" s="74"/>
      <c r="H26" s="74"/>
      <c r="I26" s="74"/>
      <c r="J26" s="74"/>
      <c r="K26" s="74"/>
      <c r="L26" s="74"/>
      <c r="M26" s="74"/>
      <c r="N26" s="74"/>
      <c r="O26" s="74"/>
      <c r="P26" s="74"/>
      <c r="Q26" s="101"/>
    </row>
    <row r="27" spans="2:21" ht="18" customHeight="1">
      <c r="B27" s="101"/>
      <c r="C27" s="101"/>
      <c r="D27" s="101"/>
      <c r="E27" s="101"/>
      <c r="F27" s="101"/>
      <c r="G27" s="101"/>
      <c r="H27" s="101"/>
      <c r="I27" s="101"/>
      <c r="S27" s="110"/>
      <c r="T27" s="110"/>
      <c r="U27" s="110"/>
    </row>
    <row r="28" spans="2:21" ht="18" customHeight="1">
      <c r="B28" s="101"/>
      <c r="C28" s="101"/>
      <c r="D28" s="101"/>
      <c r="E28" s="101"/>
      <c r="F28" s="101"/>
      <c r="G28" s="101"/>
      <c r="H28" s="101"/>
      <c r="I28" s="101"/>
      <c r="S28" s="110"/>
      <c r="T28" s="110"/>
      <c r="U28" s="110"/>
    </row>
    <row r="29" spans="2:21" ht="18" customHeight="1" hidden="1">
      <c r="B29" s="101"/>
      <c r="C29" s="101"/>
      <c r="D29" s="101"/>
      <c r="E29" s="101"/>
      <c r="F29" s="101"/>
      <c r="G29" s="101"/>
      <c r="H29" s="101"/>
      <c r="I29" s="101"/>
      <c r="S29" s="110"/>
      <c r="T29" s="110"/>
      <c r="U29" s="110"/>
    </row>
    <row r="30" ht="18" customHeight="1" hidden="1">
      <c r="U30" s="110"/>
    </row>
    <row r="31" spans="1:2" ht="18" customHeight="1" hidden="1">
      <c r="A31" s="2" t="s">
        <v>7</v>
      </c>
      <c r="B31" s="35" t="str">
        <f>IF(AND(O7&gt;O6,O11&gt;O10,O15&gt;O14),"Cıvata seçimi doğru. İsterseniz hassas kontrolünü yapabilirsiniz.","Cıvata seçimi yanlış. Bir büyük boyla tekrar hesaplayınız.")</f>
        <v>Cıvata seçimi doğru. İsterseniz hassas kontrolünü yapabilirsiniz.</v>
      </c>
    </row>
    <row r="32" spans="1:2" ht="18" customHeight="1" hidden="1">
      <c r="A32" s="2" t="s">
        <v>16</v>
      </c>
      <c r="B32" s="2" t="str">
        <f>IF(AND(O7&gt;O6,O11&gt;O10,O15&gt;O14),"Schraubenwahl ist in Ordnung","Schraubenwahl ist nicht in Ordnung")</f>
        <v>Schraubenwahl ist in Ordnung</v>
      </c>
    </row>
    <row r="33" spans="1:2" ht="18" customHeight="1" hidden="1">
      <c r="A33" s="2" t="s">
        <v>18</v>
      </c>
      <c r="B33" s="2" t="str">
        <f>IF(AND(O7&gt;O6,O11&gt;O10,O15&gt;O14),"Screw choice is functional","Screw choice is not functional")</f>
        <v>Screw choice is functional</v>
      </c>
    </row>
    <row r="34" ht="18" customHeight="1" hidden="1"/>
    <row r="35" spans="1:13" ht="18" customHeight="1" hidden="1">
      <c r="A35" s="2" t="s">
        <v>7</v>
      </c>
      <c r="B35" s="2" t="str">
        <f>IF($O$7&gt;$O$6,"Bağlantı emniyetli","Bağlantı emniyetsiz")</f>
        <v>Bağlantı emniyetli</v>
      </c>
      <c r="F35" s="2" t="s">
        <v>7</v>
      </c>
      <c r="G35" s="2" t="str">
        <f>IF($O$11&gt;$O$10,"Bağlantı emniyetli","Bağlantı emniyetsiz")</f>
        <v>Bağlantı emniyetli</v>
      </c>
      <c r="L35" s="2" t="s">
        <v>7</v>
      </c>
      <c r="M35" s="2" t="str">
        <f>IF($O$11&gt;$O$10,"Bağlantı emniyetli","Bağlantı emniyetsiz")</f>
        <v>Bağlantı emniyetli</v>
      </c>
    </row>
    <row r="36" spans="1:13" ht="18" customHeight="1" hidden="1">
      <c r="A36" s="2" t="s">
        <v>16</v>
      </c>
      <c r="B36" s="2" t="str">
        <f>IF($O$7&gt;$O$6,"Verbindung ist sicher","Verbindung ist nicht sicher")</f>
        <v>Verbindung ist sicher</v>
      </c>
      <c r="F36" s="2" t="s">
        <v>16</v>
      </c>
      <c r="G36" s="2" t="str">
        <f>IF($O$11&gt;$O$10,"Verbindung ist sicher","Verbindung ist nicht sicher")</f>
        <v>Verbindung ist sicher</v>
      </c>
      <c r="L36" s="2" t="s">
        <v>16</v>
      </c>
      <c r="M36" s="2" t="str">
        <f>IF($O$11&gt;$O$10,"Verbindung ist sicher","Verbindung ist nicht sicher")</f>
        <v>Verbindung ist sicher</v>
      </c>
    </row>
    <row r="37" spans="1:13" ht="18" customHeight="1" hidden="1">
      <c r="A37" s="2" t="s">
        <v>18</v>
      </c>
      <c r="B37" s="2" t="str">
        <f>IF($O$7&gt;$O$6,"Screw is functional","Screw is not functional")</f>
        <v>Screw is functional</v>
      </c>
      <c r="F37" s="2" t="s">
        <v>18</v>
      </c>
      <c r="G37" s="2" t="str">
        <f>IF($O$11&gt;$O$10,"Screw is functional","Screw is not functional")</f>
        <v>Screw is functional</v>
      </c>
      <c r="L37" s="2" t="s">
        <v>18</v>
      </c>
      <c r="M37" s="2" t="str">
        <f>IF($O$11&gt;$O$10,"Screw is functional","Screw is not functional")</f>
        <v>Screw is functional</v>
      </c>
    </row>
    <row r="38" ht="18" customHeight="1" hidden="1"/>
    <row r="39" spans="6:7" ht="18" customHeight="1" hidden="1">
      <c r="F39" s="2" t="s">
        <v>7</v>
      </c>
      <c r="G39" s="2" t="str">
        <f>IF($O$11&gt;$O$10,"Bağlantı emniyetli","Bağlantı emniyetsiz")</f>
        <v>Bağlantı emniyetli</v>
      </c>
    </row>
    <row r="40" spans="6:20" ht="18" customHeight="1" hidden="1">
      <c r="F40" s="2" t="s">
        <v>16</v>
      </c>
      <c r="G40" s="2" t="str">
        <f>IF($O$11&gt;$O$10,"Verbindung ist sicher","Verbindung ist nicht sicher")</f>
        <v>Verbindung ist sicher</v>
      </c>
      <c r="O40" s="101"/>
      <c r="P40" s="101"/>
      <c r="Q40" s="101"/>
      <c r="R40" s="101"/>
      <c r="S40" s="101"/>
      <c r="T40" s="101"/>
    </row>
    <row r="41" spans="6:20" ht="18" customHeight="1" hidden="1">
      <c r="F41" s="2" t="s">
        <v>18</v>
      </c>
      <c r="G41" s="2" t="str">
        <f>IF($O$11&gt;$O$10,"Screw is functional","Screw is not functional")</f>
        <v>Screw is functional</v>
      </c>
      <c r="O41" s="101"/>
      <c r="P41" s="101"/>
      <c r="Q41" s="101"/>
      <c r="R41" s="101"/>
      <c r="S41" s="101"/>
      <c r="T41" s="101"/>
    </row>
    <row r="42" spans="1:20" ht="15" customHeight="1" hidden="1">
      <c r="A42" s="101"/>
      <c r="B42" s="101"/>
      <c r="C42" s="101"/>
      <c r="D42" s="101"/>
      <c r="E42" s="101"/>
      <c r="F42" s="101"/>
      <c r="G42" s="101"/>
      <c r="H42" s="101"/>
      <c r="I42" s="101"/>
      <c r="J42" s="101"/>
      <c r="K42" s="101"/>
      <c r="L42" s="101"/>
      <c r="M42" s="101"/>
      <c r="N42" s="101"/>
      <c r="O42" s="101"/>
      <c r="P42" s="101"/>
      <c r="Q42" s="101"/>
      <c r="R42" s="101"/>
      <c r="S42" s="101"/>
      <c r="T42" s="101"/>
    </row>
    <row r="43" spans="1:20" ht="15" customHeight="1" hidden="1">
      <c r="A43" s="101"/>
      <c r="B43" s="101"/>
      <c r="C43" s="101"/>
      <c r="D43" s="101"/>
      <c r="E43" s="101"/>
      <c r="F43" s="101"/>
      <c r="G43" s="101"/>
      <c r="H43" s="101"/>
      <c r="I43" s="101"/>
      <c r="J43" s="101"/>
      <c r="K43" s="101"/>
      <c r="L43" s="101"/>
      <c r="M43" s="101"/>
      <c r="N43" s="101"/>
      <c r="O43" s="101"/>
      <c r="P43" s="101"/>
      <c r="Q43" s="101"/>
      <c r="R43" s="101"/>
      <c r="S43" s="101"/>
      <c r="T43" s="101"/>
    </row>
    <row r="44" spans="1:20" ht="15" customHeight="1" hidden="1">
      <c r="A44" s="101"/>
      <c r="B44" s="101"/>
      <c r="C44" s="101"/>
      <c r="D44" s="101"/>
      <c r="E44" s="101"/>
      <c r="F44" s="101"/>
      <c r="G44" s="101"/>
      <c r="H44" s="101"/>
      <c r="I44" s="101"/>
      <c r="J44" s="101"/>
      <c r="K44" s="101"/>
      <c r="L44" s="101"/>
      <c r="M44" s="101"/>
      <c r="N44" s="101"/>
      <c r="O44" s="101"/>
      <c r="P44" s="101"/>
      <c r="Q44" s="101"/>
      <c r="R44" s="101"/>
      <c r="S44" s="101"/>
      <c r="T44" s="101"/>
    </row>
    <row r="45" spans="1:20" ht="15" customHeight="1" hidden="1">
      <c r="A45" s="101"/>
      <c r="B45" s="101"/>
      <c r="C45" s="101"/>
      <c r="D45" s="101"/>
      <c r="E45" s="101"/>
      <c r="F45" s="101"/>
      <c r="G45" s="101"/>
      <c r="H45" s="101"/>
      <c r="I45" s="101"/>
      <c r="J45" s="101"/>
      <c r="K45" s="101"/>
      <c r="L45" s="101"/>
      <c r="M45" s="101"/>
      <c r="N45" s="101"/>
      <c r="O45" s="101"/>
      <c r="P45" s="101"/>
      <c r="Q45" s="101"/>
      <c r="R45" s="101"/>
      <c r="S45" s="101"/>
      <c r="T45" s="101"/>
    </row>
    <row r="46" spans="1:20" ht="18.75" customHeight="1" hidden="1">
      <c r="A46" s="101"/>
      <c r="B46" s="101"/>
      <c r="C46" s="101"/>
      <c r="D46" s="101"/>
      <c r="E46" s="101"/>
      <c r="F46" s="101"/>
      <c r="G46" s="101"/>
      <c r="H46" s="101"/>
      <c r="I46" s="101"/>
      <c r="J46" s="101"/>
      <c r="K46" s="101"/>
      <c r="L46" s="101"/>
      <c r="M46" s="101"/>
      <c r="N46" s="101"/>
      <c r="O46" s="101"/>
      <c r="P46" s="101"/>
      <c r="Q46" s="101"/>
      <c r="R46" s="101"/>
      <c r="S46" s="101"/>
      <c r="T46" s="101"/>
    </row>
    <row r="47" spans="1:20" ht="15" hidden="1">
      <c r="A47" s="101"/>
      <c r="B47" s="101"/>
      <c r="C47" s="101"/>
      <c r="D47" s="101"/>
      <c r="E47" s="101"/>
      <c r="F47" s="101"/>
      <c r="G47" s="101"/>
      <c r="H47" s="101"/>
      <c r="I47" s="101"/>
      <c r="J47" s="101"/>
      <c r="K47" s="101"/>
      <c r="L47" s="101"/>
      <c r="M47" s="101"/>
      <c r="N47" s="101"/>
      <c r="O47" s="101"/>
      <c r="P47" s="101"/>
      <c r="Q47" s="101"/>
      <c r="R47" s="101"/>
      <c r="S47" s="101"/>
      <c r="T47" s="101"/>
    </row>
    <row r="48" spans="1:20" ht="15" hidden="1">
      <c r="A48" s="101"/>
      <c r="B48" s="101"/>
      <c r="C48" s="101"/>
      <c r="D48" s="101"/>
      <c r="E48" s="101"/>
      <c r="F48" s="101"/>
      <c r="G48" s="101"/>
      <c r="H48" s="101"/>
      <c r="I48" s="101"/>
      <c r="J48" s="101"/>
      <c r="K48" s="101"/>
      <c r="L48" s="101"/>
      <c r="M48" s="101"/>
      <c r="N48" s="101"/>
      <c r="O48" s="101"/>
      <c r="P48" s="101"/>
      <c r="Q48" s="101"/>
      <c r="R48" s="101"/>
      <c r="S48" s="101"/>
      <c r="T48" s="101"/>
    </row>
    <row r="49" spans="1:20" ht="15">
      <c r="A49" s="101"/>
      <c r="B49" s="101"/>
      <c r="C49" s="101"/>
      <c r="D49" s="101"/>
      <c r="E49" s="101"/>
      <c r="F49" s="101"/>
      <c r="G49" s="101"/>
      <c r="H49" s="101"/>
      <c r="I49" s="101"/>
      <c r="J49" s="101"/>
      <c r="K49" s="101"/>
      <c r="L49" s="101"/>
      <c r="M49" s="101"/>
      <c r="N49" s="101"/>
      <c r="O49" s="101"/>
      <c r="P49" s="101"/>
      <c r="Q49" s="101"/>
      <c r="R49" s="101"/>
      <c r="S49" s="101"/>
      <c r="T49" s="101"/>
    </row>
    <row r="50" spans="1:20" ht="15">
      <c r="A50" s="101"/>
      <c r="B50" s="101"/>
      <c r="C50" s="101"/>
      <c r="D50" s="101"/>
      <c r="E50" s="101"/>
      <c r="F50" s="101"/>
      <c r="G50" s="101"/>
      <c r="H50" s="101"/>
      <c r="I50" s="101"/>
      <c r="J50" s="101"/>
      <c r="K50" s="101"/>
      <c r="L50" s="101"/>
      <c r="M50" s="101"/>
      <c r="N50" s="101"/>
      <c r="O50" s="101"/>
      <c r="P50" s="101"/>
      <c r="Q50" s="101"/>
      <c r="R50" s="101"/>
      <c r="S50" s="101"/>
      <c r="T50" s="101"/>
    </row>
    <row r="51" spans="1:20" ht="15">
      <c r="A51" s="101"/>
      <c r="B51" s="101"/>
      <c r="C51" s="101"/>
      <c r="D51" s="101"/>
      <c r="E51" s="101"/>
      <c r="F51" s="101"/>
      <c r="G51" s="101"/>
      <c r="H51" s="101"/>
      <c r="I51" s="101"/>
      <c r="J51" s="101"/>
      <c r="K51" s="101"/>
      <c r="L51" s="101"/>
      <c r="M51" s="101"/>
      <c r="N51" s="101"/>
      <c r="O51" s="101"/>
      <c r="P51" s="101"/>
      <c r="Q51" s="101"/>
      <c r="R51" s="101"/>
      <c r="S51" s="101"/>
      <c r="T51" s="101"/>
    </row>
    <row r="52" spans="1:20" ht="15">
      <c r="A52" s="101"/>
      <c r="B52" s="101"/>
      <c r="C52" s="101"/>
      <c r="D52" s="101"/>
      <c r="E52" s="101"/>
      <c r="F52" s="101"/>
      <c r="G52" s="101"/>
      <c r="H52" s="101"/>
      <c r="I52" s="101"/>
      <c r="J52" s="101"/>
      <c r="K52" s="101"/>
      <c r="L52" s="101"/>
      <c r="M52" s="101"/>
      <c r="N52" s="101"/>
      <c r="O52" s="101"/>
      <c r="P52" s="101"/>
      <c r="Q52" s="101"/>
      <c r="R52" s="101"/>
      <c r="S52" s="101"/>
      <c r="T52" s="101"/>
    </row>
    <row r="53" spans="1:20" ht="15">
      <c r="A53" s="101"/>
      <c r="B53" s="101"/>
      <c r="C53" s="101"/>
      <c r="D53" s="101"/>
      <c r="E53" s="101"/>
      <c r="F53" s="101"/>
      <c r="G53" s="101"/>
      <c r="H53" s="101"/>
      <c r="I53" s="101"/>
      <c r="J53" s="101"/>
      <c r="K53" s="101"/>
      <c r="L53" s="101"/>
      <c r="M53" s="101"/>
      <c r="N53" s="101"/>
      <c r="O53" s="101"/>
      <c r="P53" s="101"/>
      <c r="Q53" s="101"/>
      <c r="R53" s="101"/>
      <c r="S53" s="101"/>
      <c r="T53" s="101"/>
    </row>
    <row r="54" spans="1:20" ht="15">
      <c r="A54" s="101"/>
      <c r="B54" s="101"/>
      <c r="C54" s="101"/>
      <c r="D54" s="101"/>
      <c r="E54" s="101"/>
      <c r="F54" s="101"/>
      <c r="G54" s="101"/>
      <c r="H54" s="101"/>
      <c r="I54" s="101"/>
      <c r="J54" s="101"/>
      <c r="K54" s="101"/>
      <c r="L54" s="101"/>
      <c r="M54" s="101"/>
      <c r="N54" s="101"/>
      <c r="O54" s="101"/>
      <c r="P54" s="101"/>
      <c r="Q54" s="101"/>
      <c r="R54" s="101"/>
      <c r="S54" s="101"/>
      <c r="T54" s="101"/>
    </row>
    <row r="55" spans="1:20" ht="15">
      <c r="A55" s="101"/>
      <c r="B55" s="101"/>
      <c r="C55" s="101"/>
      <c r="D55" s="101"/>
      <c r="E55" s="101"/>
      <c r="F55" s="101"/>
      <c r="G55" s="101"/>
      <c r="H55" s="101"/>
      <c r="I55" s="101"/>
      <c r="J55" s="101"/>
      <c r="K55" s="101"/>
      <c r="L55" s="101"/>
      <c r="M55" s="101"/>
      <c r="N55" s="101"/>
      <c r="O55" s="101"/>
      <c r="P55" s="101"/>
      <c r="Q55" s="101"/>
      <c r="R55" s="101"/>
      <c r="S55" s="101"/>
      <c r="T55" s="101"/>
    </row>
    <row r="56" spans="1:20" ht="15">
      <c r="A56" s="101"/>
      <c r="B56" s="101"/>
      <c r="C56" s="101"/>
      <c r="D56" s="101"/>
      <c r="E56" s="101"/>
      <c r="F56" s="101"/>
      <c r="G56" s="101"/>
      <c r="H56" s="101"/>
      <c r="I56" s="101"/>
      <c r="J56" s="101"/>
      <c r="K56" s="101"/>
      <c r="L56" s="101"/>
      <c r="M56" s="101"/>
      <c r="N56" s="101"/>
      <c r="O56" s="101"/>
      <c r="P56" s="101"/>
      <c r="Q56" s="101"/>
      <c r="R56" s="101"/>
      <c r="S56" s="101"/>
      <c r="T56" s="101"/>
    </row>
    <row r="59" ht="15">
      <c r="C59" s="3"/>
    </row>
    <row r="60" ht="15">
      <c r="C60" s="3"/>
    </row>
  </sheetData>
  <sheetProtection password="EF77" sheet="1" objects="1" scenarios="1"/>
  <printOptions horizontalCentered="1"/>
  <pageMargins left="0.5902777777777778" right="0.5902777777777778" top="0.9840277777777777" bottom="0.9840277777777777" header="0.5118055555555555" footer="0.5118055555555555"/>
  <pageSetup horizontalDpi="300" verticalDpi="300" orientation="landscape" paperSize="9" scale="83"/>
  <headerFooter alignWithMargins="0">
    <oddFooter>&amp;L&amp;D/&amp;F/&amp;A&amp;R&amp;P - &amp;N</oddFooter>
  </headerFooter>
</worksheet>
</file>

<file path=xl/worksheets/sheet4.xml><?xml version="1.0" encoding="utf-8"?>
<worksheet xmlns="http://schemas.openxmlformats.org/spreadsheetml/2006/main" xmlns:r="http://schemas.openxmlformats.org/officeDocument/2006/relationships">
  <dimension ref="A2:AF158"/>
  <sheetViews>
    <sheetView showGridLines="0" showRowColHeaders="0" zoomScale="80" zoomScaleNormal="80" workbookViewId="0" topLeftCell="A1">
      <selection activeCell="I45" sqref="I45"/>
    </sheetView>
  </sheetViews>
  <sheetFormatPr defaultColWidth="11.421875" defaultRowHeight="12.75"/>
  <cols>
    <col min="1" max="1" width="3.7109375" style="71" customWidth="1"/>
    <col min="2" max="3" width="10.7109375" style="71" customWidth="1"/>
    <col min="4" max="4" width="8.28125" style="71" customWidth="1"/>
    <col min="5" max="5" width="11.7109375" style="71" customWidth="1"/>
    <col min="6" max="6" width="3.7109375" style="71" customWidth="1"/>
    <col min="7" max="8" width="11.7109375" style="71" customWidth="1"/>
    <col min="9" max="9" width="12.7109375" style="71" customWidth="1"/>
    <col min="10" max="10" width="11.7109375" style="68" customWidth="1"/>
    <col min="11" max="11" width="8.28125" style="68" customWidth="1"/>
    <col min="12" max="12" width="4.8515625" style="68" customWidth="1"/>
    <col min="13" max="13" width="11.7109375" style="68" customWidth="1"/>
    <col min="14" max="14" width="10.7109375" style="68" customWidth="1"/>
    <col min="15" max="15" width="6.7109375" style="71" customWidth="1"/>
    <col min="16" max="16" width="11.7109375" style="71" customWidth="1"/>
    <col min="17" max="17" width="4.57421875" style="71" customWidth="1"/>
    <col min="18" max="18" width="11.7109375" style="71" customWidth="1"/>
    <col min="19" max="19" width="9.7109375" style="71" customWidth="1"/>
    <col min="20" max="22" width="2.7109375" style="71" customWidth="1"/>
    <col min="23" max="26" width="12.421875" style="71" customWidth="1"/>
    <col min="27" max="39" width="11.421875" style="71" customWidth="1"/>
    <col min="40" max="40" width="1.28515625" style="71" customWidth="1"/>
    <col min="41" max="16384" width="11.421875" style="71" customWidth="1"/>
  </cols>
  <sheetData>
    <row r="1" ht="7.5" customHeight="1"/>
    <row r="2" spans="1:22" ht="15" customHeight="1">
      <c r="A2" s="67"/>
      <c r="B2" s="4" t="str">
        <f>0!B237</f>
        <v>2. Yalnız yük etkisindeki ön germeli şaft cıvatalarının detaylı hesabı</v>
      </c>
      <c r="D2" s="68"/>
      <c r="E2" s="68"/>
      <c r="J2" s="111" t="str">
        <f>Info!N11</f>
        <v>Copyright : M. G. Kutay , Ver 2013.01</v>
      </c>
      <c r="K2" s="111"/>
      <c r="L2" s="111"/>
      <c r="M2" s="112"/>
      <c r="N2" s="112"/>
      <c r="Q2" s="101"/>
      <c r="U2" s="68"/>
      <c r="V2" s="101"/>
    </row>
    <row r="3" spans="1:22" ht="7.5" customHeight="1">
      <c r="A3" s="67"/>
      <c r="B3" s="68"/>
      <c r="C3" s="68"/>
      <c r="D3" s="113"/>
      <c r="E3" s="113"/>
      <c r="F3" s="101"/>
      <c r="G3" s="101"/>
      <c r="H3" s="101"/>
      <c r="I3" s="101"/>
      <c r="J3" s="101"/>
      <c r="K3" s="101"/>
      <c r="L3" s="101"/>
      <c r="M3" s="101"/>
      <c r="N3" s="101"/>
      <c r="P3" s="67"/>
      <c r="Q3" s="101"/>
      <c r="R3" s="114"/>
      <c r="S3" s="101"/>
      <c r="T3" s="101"/>
      <c r="U3" s="101"/>
      <c r="V3" s="101"/>
    </row>
    <row r="4" spans="1:22" ht="15" customHeight="1">
      <c r="A4" s="67"/>
      <c r="B4" s="115" t="str">
        <f>0!B156</f>
        <v>Proje :</v>
      </c>
      <c r="C4" s="116"/>
      <c r="D4" s="116"/>
      <c r="E4" s="116"/>
      <c r="F4" s="116"/>
      <c r="G4" s="116"/>
      <c r="H4" s="101"/>
      <c r="I4" s="76" t="str">
        <f>Info!B11</f>
        <v>www.guven-kutay.ch</v>
      </c>
      <c r="J4" s="101"/>
      <c r="K4" s="101"/>
      <c r="L4" s="101"/>
      <c r="M4" s="101"/>
      <c r="N4" s="101"/>
      <c r="O4" s="101"/>
      <c r="P4" s="101"/>
      <c r="Q4" s="101"/>
      <c r="R4" s="117"/>
      <c r="S4" s="101"/>
      <c r="T4" s="101"/>
      <c r="U4" s="101"/>
      <c r="V4" s="101"/>
    </row>
    <row r="5" spans="1:22" ht="15" customHeight="1">
      <c r="A5" s="67"/>
      <c r="C5" s="70">
        <f>IF(C4&gt;0.1,0!B259,"")</f>
      </c>
      <c r="H5" s="101"/>
      <c r="I5" s="101"/>
      <c r="J5" s="101"/>
      <c r="K5" s="101"/>
      <c r="L5" s="101"/>
      <c r="M5" s="101"/>
      <c r="N5" s="101"/>
      <c r="O5" s="101"/>
      <c r="P5" s="101"/>
      <c r="Q5" s="101"/>
      <c r="V5" s="101"/>
    </row>
    <row r="6" spans="1:22" ht="15" customHeight="1">
      <c r="A6" s="118">
        <v>1</v>
      </c>
      <c r="B6" s="62" t="str">
        <f>0!B60</f>
        <v>İşletme değerleri :</v>
      </c>
      <c r="C6" s="62"/>
      <c r="D6" s="67"/>
      <c r="E6" s="67"/>
      <c r="F6" s="118">
        <f>A19+1</f>
        <v>4</v>
      </c>
      <c r="G6" s="63" t="str">
        <f>0!B72</f>
        <v>Bağlanan parçaların değerleri :</v>
      </c>
      <c r="I6" s="759" t="s">
        <v>86</v>
      </c>
      <c r="J6" s="759"/>
      <c r="K6" s="119"/>
      <c r="V6" s="101"/>
    </row>
    <row r="7" spans="1:22" ht="15" customHeight="1">
      <c r="A7" s="67"/>
      <c r="B7" s="120" t="str">
        <f>0!B61</f>
        <v>İşletme kuvveti</v>
      </c>
      <c r="C7" s="121"/>
      <c r="D7" s="122" t="s">
        <v>87</v>
      </c>
      <c r="E7" s="123">
        <v>30</v>
      </c>
      <c r="G7" s="124" t="str">
        <f>0!B57</f>
        <v>Tanımı :</v>
      </c>
      <c r="H7" s="125" t="str">
        <f>0!B34</f>
        <v>1.Parça  *)1 </v>
      </c>
      <c r="I7" s="126" t="str">
        <f>0!B36</f>
        <v>2. Parça</v>
      </c>
      <c r="J7" s="127" t="str">
        <f>0!B37</f>
        <v>3. Parça</v>
      </c>
      <c r="K7" s="760" t="str">
        <f>1!H12</f>
        <v>Tablo 14</v>
      </c>
      <c r="R7" s="128"/>
      <c r="V7" s="101"/>
    </row>
    <row r="8" spans="1:18" ht="15" customHeight="1">
      <c r="A8" s="67"/>
      <c r="B8" s="129"/>
      <c r="C8" s="130"/>
      <c r="D8" s="131" t="s">
        <v>88</v>
      </c>
      <c r="E8" s="132">
        <v>0</v>
      </c>
      <c r="G8" s="133" t="str">
        <f>0!B222</f>
        <v>Malzeme</v>
      </c>
      <c r="H8" s="134" t="s">
        <v>89</v>
      </c>
      <c r="I8" s="134"/>
      <c r="J8" s="135"/>
      <c r="K8" s="760"/>
      <c r="Q8" s="101"/>
      <c r="R8" s="128"/>
    </row>
    <row r="9" spans="1:20" ht="15" customHeight="1">
      <c r="A9" s="67"/>
      <c r="B9" s="136" t="str">
        <f>0!B158</f>
        <v>Enine kuvvet</v>
      </c>
      <c r="C9" s="137"/>
      <c r="D9" s="131" t="s">
        <v>90</v>
      </c>
      <c r="E9" s="132"/>
      <c r="G9" s="138" t="s">
        <v>91</v>
      </c>
      <c r="H9" s="139">
        <v>80</v>
      </c>
      <c r="I9" s="139"/>
      <c r="J9" s="140"/>
      <c r="K9" s="760"/>
      <c r="Q9" s="101"/>
      <c r="R9" s="128"/>
      <c r="T9" s="141"/>
    </row>
    <row r="10" spans="1:18" ht="15" customHeight="1">
      <c r="A10" s="67"/>
      <c r="B10" s="136" t="str">
        <f>0!B161</f>
        <v>Sürtünme katsayısı</v>
      </c>
      <c r="C10" s="137"/>
      <c r="D10" s="142" t="s">
        <v>92</v>
      </c>
      <c r="E10" s="143"/>
      <c r="G10" s="144" t="s">
        <v>93</v>
      </c>
      <c r="H10" s="145">
        <v>210000</v>
      </c>
      <c r="I10" s="145"/>
      <c r="J10" s="146"/>
      <c r="K10" s="760"/>
      <c r="Q10" s="101"/>
      <c r="R10" s="128"/>
    </row>
    <row r="11" spans="1:18" ht="15" customHeight="1">
      <c r="A11" s="67"/>
      <c r="B11" s="147" t="str">
        <f>0!B47</f>
        <v>Şartnameden</v>
      </c>
      <c r="C11" s="148"/>
      <c r="D11" s="149" t="s">
        <v>94</v>
      </c>
      <c r="E11" s="150">
        <v>1</v>
      </c>
      <c r="F11" s="118">
        <f>F6+1</f>
        <v>5</v>
      </c>
      <c r="G11" s="70" t="str">
        <f>0!B114</f>
        <v>Sınır yüzey basıncı</v>
      </c>
      <c r="I11" s="151"/>
      <c r="J11" s="151" t="s">
        <v>95</v>
      </c>
      <c r="K11" s="101"/>
      <c r="Q11" s="101"/>
      <c r="R11" s="128"/>
    </row>
    <row r="12" spans="1:18" ht="15" customHeight="1">
      <c r="A12" s="118">
        <f>A6+1</f>
        <v>2</v>
      </c>
      <c r="B12" s="152" t="str">
        <f>0!B73</f>
        <v>Cıvatanın değerleri :</v>
      </c>
      <c r="D12" s="119"/>
      <c r="E12" s="153" t="s">
        <v>96</v>
      </c>
      <c r="G12" s="154" t="str">
        <f>0!B146</f>
        <v>Montaj ve işletme</v>
      </c>
      <c r="H12" s="155"/>
      <c r="I12" s="156" t="s">
        <v>97</v>
      </c>
      <c r="J12" s="157">
        <v>490</v>
      </c>
      <c r="Q12" s="101"/>
      <c r="R12" s="128"/>
    </row>
    <row r="13" spans="1:18" ht="15" customHeight="1">
      <c r="A13" s="761"/>
      <c r="B13" s="158" t="str">
        <f>0!B222</f>
        <v>Malzeme</v>
      </c>
      <c r="C13" s="159"/>
      <c r="D13" s="160"/>
      <c r="E13" s="161">
        <v>8.8</v>
      </c>
      <c r="F13" s="118">
        <f>F11+1</f>
        <v>6</v>
      </c>
      <c r="G13" s="62" t="str">
        <f>0!B163</f>
        <v>Sürtünme katsayıları ve açıları :</v>
      </c>
      <c r="I13" s="68"/>
      <c r="J13" s="119" t="s">
        <v>98</v>
      </c>
      <c r="K13" s="101"/>
      <c r="Q13" s="101"/>
      <c r="R13" s="128"/>
    </row>
    <row r="14" spans="1:18" ht="15" customHeight="1">
      <c r="A14" s="761"/>
      <c r="B14" s="162" t="str">
        <f>0!B204</f>
        <v>Isı  °C</v>
      </c>
      <c r="C14" s="163"/>
      <c r="D14" s="164"/>
      <c r="E14" s="165">
        <v>20</v>
      </c>
      <c r="F14" s="67"/>
      <c r="G14" s="166" t="str">
        <f>0!B108</f>
        <v>Vida</v>
      </c>
      <c r="H14" s="167" t="s">
        <v>99</v>
      </c>
      <c r="I14" s="168">
        <v>0.12</v>
      </c>
      <c r="J14" s="169">
        <f>180*(ATAN(I14))/PI()</f>
        <v>6.84277341263094</v>
      </c>
      <c r="K14" s="170"/>
      <c r="Q14" s="101"/>
      <c r="R14" s="128"/>
    </row>
    <row r="15" spans="1:18" ht="15" customHeight="1">
      <c r="A15" s="761"/>
      <c r="B15" s="162" t="str">
        <f>0!B71</f>
        <v>Kopma mukavemeti Rm</v>
      </c>
      <c r="C15" s="163"/>
      <c r="D15" s="164" t="s">
        <v>100</v>
      </c>
      <c r="E15" s="171">
        <v>800</v>
      </c>
      <c r="F15" s="67"/>
      <c r="G15" s="172" t="str">
        <f>0!B132</f>
        <v>Kafa</v>
      </c>
      <c r="H15" s="173" t="s">
        <v>101</v>
      </c>
      <c r="I15" s="174">
        <v>0.12</v>
      </c>
      <c r="J15" s="175">
        <f>180*(ATAN(I15))/PI()</f>
        <v>6.84277341263094</v>
      </c>
      <c r="K15" s="170"/>
      <c r="Q15" s="101"/>
      <c r="R15" s="128"/>
    </row>
    <row r="16" spans="1:18" ht="15" customHeight="1">
      <c r="A16" s="761"/>
      <c r="B16" s="162" t="str">
        <f>0!B199</f>
        <v>Akma sınırı Re</v>
      </c>
      <c r="C16" s="163"/>
      <c r="D16" s="164" t="s">
        <v>100</v>
      </c>
      <c r="E16" s="171">
        <v>640</v>
      </c>
      <c r="F16" s="118">
        <f>F13+1</f>
        <v>7</v>
      </c>
      <c r="G16" s="62" t="str">
        <f>0!B159</f>
        <v>Hesap için gereken diğer değerler :</v>
      </c>
      <c r="H16" s="115"/>
      <c r="I16" s="68"/>
      <c r="K16" s="101"/>
      <c r="Q16" s="101"/>
      <c r="R16" s="128"/>
    </row>
    <row r="17" spans="1:18" ht="15" customHeight="1">
      <c r="A17" s="761"/>
      <c r="B17" s="176" t="str">
        <f>0!B80</f>
        <v>elastiklik modülü Edin</v>
      </c>
      <c r="C17" s="148"/>
      <c r="D17" s="177" t="s">
        <v>100</v>
      </c>
      <c r="E17" s="178">
        <v>210000</v>
      </c>
      <c r="G17" s="179" t="str">
        <f>0!B43</f>
        <v>Sıkıştırma faktörü</v>
      </c>
      <c r="H17" s="180"/>
      <c r="I17" s="181" t="s">
        <v>102</v>
      </c>
      <c r="J17" s="182">
        <v>1.6</v>
      </c>
      <c r="K17" s="151" t="s">
        <v>103</v>
      </c>
      <c r="Q17" s="101"/>
      <c r="R17" s="128"/>
    </row>
    <row r="18" spans="7:18" ht="15" customHeight="1">
      <c r="G18" s="183" t="str">
        <f>0!B45</f>
        <v>max. Sıkma momenti</v>
      </c>
      <c r="H18" s="184"/>
      <c r="I18" s="185" t="s">
        <v>104</v>
      </c>
      <c r="J18" s="186">
        <v>415</v>
      </c>
      <c r="K18" s="170" t="str">
        <f>1!H20</f>
        <v>Tablo 15</v>
      </c>
      <c r="Q18" s="101"/>
      <c r="R18" s="128"/>
    </row>
    <row r="19" spans="1:20" ht="15" customHeight="1">
      <c r="A19" s="118">
        <f>A12+1</f>
        <v>3</v>
      </c>
      <c r="B19" s="62" t="str">
        <f>0!B184</f>
        <v>Cıvata, Vida ve Konstruksiyon değerleri :</v>
      </c>
      <c r="C19" s="62"/>
      <c r="D19" s="187"/>
      <c r="E19" s="101"/>
      <c r="F19" s="762" t="str">
        <f>IF((E34+E35)=(H9+I9+J9),"  ",0!B256)</f>
        <v>  </v>
      </c>
      <c r="G19" s="183" t="str">
        <f>0!B46</f>
        <v>min. Sıkma momenti</v>
      </c>
      <c r="H19" s="164"/>
      <c r="I19" s="185" t="s">
        <v>105</v>
      </c>
      <c r="J19" s="188">
        <f>J18/J17</f>
        <v>259.375</v>
      </c>
      <c r="K19" s="170"/>
      <c r="Q19" s="101"/>
      <c r="R19" s="101"/>
      <c r="S19" s="101"/>
      <c r="T19" s="101"/>
    </row>
    <row r="20" spans="1:20" ht="15" customHeight="1">
      <c r="A20" s="763" t="s">
        <v>106</v>
      </c>
      <c r="B20" s="158" t="str">
        <f>0!B152</f>
        <v>Anma çapı</v>
      </c>
      <c r="C20" s="189"/>
      <c r="D20" s="190" t="s">
        <v>107</v>
      </c>
      <c r="E20" s="191">
        <v>20</v>
      </c>
      <c r="F20" s="762"/>
      <c r="G20" s="192" t="str">
        <f>0!B182</f>
        <v>Cıvata elastik esnekliği</v>
      </c>
      <c r="H20" s="164"/>
      <c r="I20" s="193" t="s">
        <v>108</v>
      </c>
      <c r="J20" s="194">
        <f>(0.4*E20/E33+E34/E33+E35/E37+0.5*E20/E31+0.4*E20/E33)/E17</f>
        <v>1.688068051462375E-06</v>
      </c>
      <c r="K20" s="101"/>
      <c r="T20" s="101"/>
    </row>
    <row r="21" spans="1:20" ht="15" customHeight="1">
      <c r="A21" s="763"/>
      <c r="B21" s="162" t="str">
        <f>0!B200</f>
        <v>Adım veya hatve</v>
      </c>
      <c r="C21" s="164"/>
      <c r="D21" s="195" t="s">
        <v>109</v>
      </c>
      <c r="E21" s="196">
        <v>2.5</v>
      </c>
      <c r="F21" s="762"/>
      <c r="G21" s="183" t="str">
        <f>0!B135</f>
        <v>Kuvvet konisi açısı</v>
      </c>
      <c r="H21" s="163"/>
      <c r="I21" s="197" t="s">
        <v>110</v>
      </c>
      <c r="J21" s="198">
        <v>35</v>
      </c>
      <c r="K21" s="101"/>
      <c r="L21" s="118">
        <f>F16+1</f>
        <v>8</v>
      </c>
      <c r="M21" s="199" t="str">
        <f>0!B130</f>
        <v>Kontroller</v>
      </c>
      <c r="N21" s="199"/>
      <c r="Q21" s="118">
        <f>L21+1</f>
        <v>9</v>
      </c>
      <c r="R21" s="63" t="str">
        <f>0!B86</f>
        <v>Sonuçlar</v>
      </c>
      <c r="T21" s="101"/>
    </row>
    <row r="22" spans="1:22" ht="15" customHeight="1">
      <c r="A22" s="763"/>
      <c r="B22" s="200" t="str">
        <f>0!B181</f>
        <v>Civatanın boyu</v>
      </c>
      <c r="C22" s="201"/>
      <c r="D22" s="202" t="s">
        <v>111</v>
      </c>
      <c r="E22" s="203">
        <v>120</v>
      </c>
      <c r="F22" s="762"/>
      <c r="G22" s="192" t="str">
        <f>0!B208</f>
        <v>Paraboloid çapı</v>
      </c>
      <c r="H22" s="163"/>
      <c r="I22" s="185" t="s">
        <v>112</v>
      </c>
      <c r="J22" s="204">
        <f>IF(I9&lt;0.1,TAN(J21*PI()/180)*E24+E26,2*TAN(J21*PI()/180)*H9+E26)</f>
        <v>86.01660305677677</v>
      </c>
      <c r="K22" s="101"/>
      <c r="L22" s="205">
        <f>O21+1</f>
        <v>1</v>
      </c>
      <c r="M22" s="63" t="str">
        <f>0!B193</f>
        <v>Montajda bileşik gerilim</v>
      </c>
      <c r="N22" s="63"/>
      <c r="Q22" s="206"/>
      <c r="R22" s="62" t="str">
        <f>0!B88</f>
        <v>Montajdaki değerler :</v>
      </c>
      <c r="T22" s="101"/>
      <c r="V22" s="101"/>
    </row>
    <row r="23" spans="1:22" ht="15" customHeight="1">
      <c r="A23" s="763"/>
      <c r="B23" s="200" t="str">
        <f>0!B110</f>
        <v>Civatada vida boyu</v>
      </c>
      <c r="C23" s="201"/>
      <c r="D23" s="202" t="s">
        <v>113</v>
      </c>
      <c r="E23" s="203">
        <v>45</v>
      </c>
      <c r="F23" s="762"/>
      <c r="G23" s="183" t="str">
        <f>0!B208</f>
        <v>Paraboloid çapı</v>
      </c>
      <c r="H23" s="163"/>
      <c r="I23" s="185" t="s">
        <v>114</v>
      </c>
      <c r="J23" s="207">
        <v>50</v>
      </c>
      <c r="K23" s="101"/>
      <c r="L23" s="101"/>
      <c r="M23" s="208" t="str">
        <f>0!B111</f>
        <v>Vidanın momenti</v>
      </c>
      <c r="N23" s="209"/>
      <c r="O23" s="209" t="s">
        <v>115</v>
      </c>
      <c r="P23" s="210">
        <f>J35*E28/2*TAN((E29+J14)*PI()/180)</f>
        <v>41.32734630151588</v>
      </c>
      <c r="R23" s="211" t="s">
        <v>116</v>
      </c>
      <c r="S23" s="212">
        <f>$E$16/$P$26</f>
        <v>4.748310840485242</v>
      </c>
      <c r="T23" s="101"/>
      <c r="U23" s="101"/>
      <c r="V23" s="101"/>
    </row>
    <row r="24" spans="1:24" ht="15" customHeight="1">
      <c r="A24" s="763"/>
      <c r="B24" s="200" t="str">
        <f>0!B106</f>
        <v>Toplam sıkılan boy</v>
      </c>
      <c r="C24" s="163"/>
      <c r="D24" s="213" t="s">
        <v>117</v>
      </c>
      <c r="E24" s="203">
        <v>80</v>
      </c>
      <c r="F24" s="762"/>
      <c r="G24" s="67" t="str">
        <f>0!B91</f>
        <v>Faktör</v>
      </c>
      <c r="H24" s="214"/>
      <c r="I24" s="215" t="s">
        <v>118</v>
      </c>
      <c r="J24" s="216">
        <f>(E24*E26/J23^2)^0.3</f>
        <v>0.9878280860420743</v>
      </c>
      <c r="K24" s="101"/>
      <c r="M24" s="217" t="str">
        <f>0!B205</f>
        <v>Torsiyon gerilimi</v>
      </c>
      <c r="N24" s="218"/>
      <c r="O24" s="218" t="s">
        <v>119</v>
      </c>
      <c r="P24" s="219">
        <f>P23/E38*10^3</f>
        <v>43.35302132741347</v>
      </c>
      <c r="R24" s="220" t="str">
        <f>IF(S23&lt;1,0!B254,0!B253)</f>
        <v>  Yeterli</v>
      </c>
      <c r="T24" s="101"/>
      <c r="U24" s="101"/>
      <c r="V24" s="101"/>
      <c r="X24" s="101"/>
    </row>
    <row r="25" spans="1:24" ht="15" customHeight="1">
      <c r="A25" s="763"/>
      <c r="B25" s="136" t="str">
        <f>0!B176</f>
        <v>Anahtar ağızı</v>
      </c>
      <c r="C25" s="137"/>
      <c r="D25" s="195" t="s">
        <v>120</v>
      </c>
      <c r="E25" s="221">
        <v>30</v>
      </c>
      <c r="F25" s="762"/>
      <c r="G25" s="183" t="str">
        <f>0!B82</f>
        <v>Eşdeğer alan</v>
      </c>
      <c r="H25" s="163"/>
      <c r="I25" s="185" t="s">
        <v>121</v>
      </c>
      <c r="J25" s="222">
        <f>IF(J23&lt;E26,PI()/4*(J23^2-E26^2),IF(J23&lt;E26+E24,PI()/4*(E26^2-E27^2)+PI()/8*E26*(J23-E26)*((P71+1)^2-1),PI()/4*(E26^2-E27^2)+PI()/8*E26*E24*(((E24*E26/(E26+E24)^2)^(1/3)+1)^2-1)))</f>
        <v>1020.8892733513123</v>
      </c>
      <c r="K25" s="101"/>
      <c r="L25" s="101"/>
      <c r="M25" s="223" t="str">
        <f>0!B225</f>
        <v>Çekme gerilimi</v>
      </c>
      <c r="N25" s="224"/>
      <c r="O25" s="224" t="s">
        <v>122</v>
      </c>
      <c r="P25" s="219">
        <f>J35/E37*10^3</f>
        <v>111.93070056041353</v>
      </c>
      <c r="Q25" s="755" t="str">
        <f>1!H19</f>
        <v>Tablo 7, 8</v>
      </c>
      <c r="T25" s="101"/>
      <c r="U25" s="101"/>
      <c r="V25" s="101"/>
      <c r="X25" s="101"/>
    </row>
    <row r="26" spans="1:24" ht="15" customHeight="1">
      <c r="A26" s="763"/>
      <c r="B26" s="136" t="str">
        <f>0!B133</f>
        <v>Kafaaltı dış çapı</v>
      </c>
      <c r="C26" s="137"/>
      <c r="D26" s="213" t="s">
        <v>123</v>
      </c>
      <c r="E26" s="221">
        <v>30</v>
      </c>
      <c r="F26" s="762"/>
      <c r="G26" s="192" t="str">
        <f>0!B203</f>
        <v>Plaka elastik esnekliği</v>
      </c>
      <c r="H26" s="164"/>
      <c r="I26" s="193" t="s">
        <v>124</v>
      </c>
      <c r="J26" s="225">
        <f>R58</f>
        <v>3.7315739414306313E-07</v>
      </c>
      <c r="K26" s="101"/>
      <c r="L26" s="101"/>
      <c r="M26" s="144" t="str">
        <f>0!B209</f>
        <v>Bileşik gerilim</v>
      </c>
      <c r="N26" s="226"/>
      <c r="O26" s="226" t="s">
        <v>125</v>
      </c>
      <c r="P26" s="227">
        <f>(P25^2+3*P24^2)^(0.5)</f>
        <v>134.7847732594096</v>
      </c>
      <c r="Q26" s="755"/>
      <c r="T26" s="101"/>
      <c r="U26" s="101"/>
      <c r="V26" s="101"/>
      <c r="X26" s="101"/>
    </row>
    <row r="27" spans="1:24" ht="15" customHeight="1">
      <c r="A27" s="763"/>
      <c r="B27" s="200" t="str">
        <f>0!B76</f>
        <v>Geçiş deliği çapı</v>
      </c>
      <c r="C27" s="163"/>
      <c r="D27" s="213" t="s">
        <v>126</v>
      </c>
      <c r="E27" s="228">
        <v>22</v>
      </c>
      <c r="F27" s="762"/>
      <c r="G27" s="192" t="str">
        <f>0!B134</f>
        <v>Kuvvet dağılım faktörü</v>
      </c>
      <c r="H27" s="163"/>
      <c r="I27" s="229" t="s">
        <v>127</v>
      </c>
      <c r="J27" s="230">
        <v>0.5</v>
      </c>
      <c r="K27" s="170" t="s">
        <v>128</v>
      </c>
      <c r="L27" s="205">
        <f>L22+1</f>
        <v>2</v>
      </c>
      <c r="M27" s="70" t="str">
        <f>0!B101</f>
        <v>Montajda temas yüzeyi bası gerilimi</v>
      </c>
      <c r="N27" s="231"/>
      <c r="O27" s="232"/>
      <c r="P27" s="101"/>
      <c r="Q27" s="755"/>
      <c r="U27" s="101"/>
      <c r="X27" s="101"/>
    </row>
    <row r="28" spans="2:24" ht="15" customHeight="1">
      <c r="B28" s="162" t="str">
        <f>0!B94</f>
        <v>Bölüm dairesi çapı</v>
      </c>
      <c r="C28" s="164"/>
      <c r="D28" s="213" t="s">
        <v>129</v>
      </c>
      <c r="E28" s="233">
        <f>E20-0.64952*E21</f>
        <v>18.3762</v>
      </c>
      <c r="F28" s="762"/>
      <c r="G28" s="192" t="str">
        <f>0!B136</f>
        <v>Kuvvet oranı</v>
      </c>
      <c r="H28" s="164"/>
      <c r="I28" s="234" t="s">
        <v>130</v>
      </c>
      <c r="J28" s="216">
        <f>J26/(J26+J20)*J27</f>
        <v>0.09051833581296019</v>
      </c>
      <c r="K28" s="101"/>
      <c r="M28" s="235" t="str">
        <f>0!B74</f>
        <v>Bası alanı</v>
      </c>
      <c r="N28" s="122"/>
      <c r="O28" s="122" t="s">
        <v>131</v>
      </c>
      <c r="P28" s="236">
        <v>72.4</v>
      </c>
      <c r="Q28" s="755"/>
      <c r="R28" s="211" t="s">
        <v>132</v>
      </c>
      <c r="S28" s="212">
        <f>$J$12/$P$29</f>
        <v>1.2947445255474455</v>
      </c>
      <c r="U28" s="101"/>
      <c r="X28" s="101"/>
    </row>
    <row r="29" spans="2:24" ht="15" customHeight="1">
      <c r="B29" s="200" t="str">
        <f>0!B201</f>
        <v>Helis açısı</v>
      </c>
      <c r="C29" s="163"/>
      <c r="D29" s="237" t="s">
        <v>130</v>
      </c>
      <c r="E29" s="238">
        <f>180*(ATAN(E21/PI()/E28))/PI()</f>
        <v>2.4796238420945653</v>
      </c>
      <c r="F29" s="756">
        <f>IF($E$24/$E$20&lt;10,"","LKL/d&gt;10 ?")</f>
      </c>
      <c r="G29" s="192" t="str">
        <f>0!B189</f>
        <v>Oturma değeri</v>
      </c>
      <c r="H29" s="239"/>
      <c r="I29" s="240" t="s">
        <v>133</v>
      </c>
      <c r="J29" s="241">
        <v>0.011</v>
      </c>
      <c r="K29" s="170" t="s">
        <v>134</v>
      </c>
      <c r="M29" s="144" t="str">
        <f>0!B100</f>
        <v>Yüzey basıncı</v>
      </c>
      <c r="N29" s="242"/>
      <c r="O29" s="242" t="s">
        <v>135</v>
      </c>
      <c r="P29" s="227">
        <f>J35/P28*10^3</f>
        <v>378.4530386740331</v>
      </c>
      <c r="R29" s="243" t="str">
        <f>IF(S28&lt;1,0!B254,0!B253)</f>
        <v>  Yeterli</v>
      </c>
      <c r="S29" s="101"/>
      <c r="U29" s="101"/>
      <c r="X29" s="101"/>
    </row>
    <row r="30" spans="2:24" ht="15" customHeight="1">
      <c r="B30" s="162" t="str">
        <f>0!B117</f>
        <v>Diş dibi çapı</v>
      </c>
      <c r="C30" s="164"/>
      <c r="D30" s="213" t="s">
        <v>136</v>
      </c>
      <c r="E30" s="244">
        <f>E20-1.22687*E21</f>
        <v>16.932825</v>
      </c>
      <c r="F30" s="756"/>
      <c r="G30" s="183" t="str">
        <f>0!B190</f>
        <v>Oturma kuvveti</v>
      </c>
      <c r="H30" s="163"/>
      <c r="I30" s="185" t="s">
        <v>137</v>
      </c>
      <c r="J30" s="245">
        <f>J29*J28/J27/J26</f>
        <v>5336.631188719388</v>
      </c>
      <c r="K30" s="101"/>
      <c r="L30" s="205">
        <f>L27+1</f>
        <v>3</v>
      </c>
      <c r="M30" s="70" t="str">
        <f>0!B160</f>
        <v>İşletmede bileşik gerilim</v>
      </c>
      <c r="N30" s="231"/>
      <c r="O30" s="232"/>
      <c r="P30" s="101"/>
      <c r="Q30" s="246" t="s">
        <v>138</v>
      </c>
      <c r="R30" s="62" t="str">
        <f>0!B87</f>
        <v>İşletmedeki değerler :</v>
      </c>
      <c r="U30" s="101"/>
      <c r="X30" s="101"/>
    </row>
    <row r="31" spans="2:24" ht="15" customHeight="1">
      <c r="B31" s="200" t="str">
        <f>0!B118</f>
        <v>Dişdibi alanı</v>
      </c>
      <c r="C31" s="101"/>
      <c r="D31" s="213" t="s">
        <v>139</v>
      </c>
      <c r="E31" s="247">
        <f>PI()*E30^2/4</f>
        <v>225.18980318056623</v>
      </c>
      <c r="F31" s="756"/>
      <c r="G31" s="192" t="str">
        <f>0!B187</f>
        <v>Cıvata ek kuvveti</v>
      </c>
      <c r="H31" s="163"/>
      <c r="I31" s="240" t="s">
        <v>140</v>
      </c>
      <c r="J31" s="248">
        <f>E7*J28*10^3</f>
        <v>2715.5500743888056</v>
      </c>
      <c r="K31" s="101"/>
      <c r="M31" s="249" t="str">
        <f>0!B225</f>
        <v>Çekme gerilimi</v>
      </c>
      <c r="N31" s="250"/>
      <c r="O31" s="250" t="s">
        <v>141</v>
      </c>
      <c r="P31" s="251">
        <f>J38/E37</f>
        <v>101.22342153294304</v>
      </c>
      <c r="R31" s="211" t="s">
        <v>142</v>
      </c>
      <c r="S31" s="212">
        <f>$E$16/$P$32</f>
        <v>5.077984391561208</v>
      </c>
      <c r="U31" s="101"/>
      <c r="X31" s="101"/>
    </row>
    <row r="32" spans="2:21" ht="15" customHeight="1">
      <c r="B32" s="200" t="str">
        <f>0!B165</f>
        <v>Şaft çapı</v>
      </c>
      <c r="C32" s="163"/>
      <c r="D32" s="252" t="s">
        <v>143</v>
      </c>
      <c r="E32" s="253">
        <f>E20</f>
        <v>20</v>
      </c>
      <c r="F32" s="756"/>
      <c r="G32" s="183" t="str">
        <f>0!B81</f>
        <v>Plakalarca alınan kuvvet</v>
      </c>
      <c r="H32" s="163"/>
      <c r="I32" s="185" t="s">
        <v>144</v>
      </c>
      <c r="J32" s="245">
        <f>E7*10^3-J31</f>
        <v>27284.449925611196</v>
      </c>
      <c r="K32" s="101"/>
      <c r="L32" s="254"/>
      <c r="M32" s="144" t="str">
        <f>0!B209</f>
        <v>Bileşik gerilim</v>
      </c>
      <c r="N32" s="226"/>
      <c r="O32" s="226" t="s">
        <v>145</v>
      </c>
      <c r="P32" s="227">
        <f>(P31^2+3*P24^2)^(0.5)</f>
        <v>126.03425899921568</v>
      </c>
      <c r="R32" s="243" t="str">
        <f>IF(S31&lt;1,0!B254,0!B253)</f>
        <v>  Yeterli</v>
      </c>
      <c r="U32" s="101"/>
    </row>
    <row r="33" spans="2:21" ht="15" customHeight="1">
      <c r="B33" s="200" t="str">
        <f>0!B166</f>
        <v>Şaft alanı</v>
      </c>
      <c r="C33" s="163"/>
      <c r="D33" s="213" t="s">
        <v>146</v>
      </c>
      <c r="E33" s="255">
        <f>E20^2*PI()/4</f>
        <v>314.1592653589793</v>
      </c>
      <c r="F33" s="756"/>
      <c r="G33" s="183" t="str">
        <f>0!B218</f>
        <v>Gerekli ön germe kuvveti</v>
      </c>
      <c r="H33" s="163"/>
      <c r="I33" s="185" t="s">
        <v>147</v>
      </c>
      <c r="J33" s="256" t="str">
        <f>IF(E9&lt;0.1,"- - -",E9*10^3/E10)</f>
        <v>- - -</v>
      </c>
      <c r="K33" s="101"/>
      <c r="L33" s="205">
        <f>L30+1</f>
        <v>4</v>
      </c>
      <c r="M33" s="63" t="str">
        <f>0!B102</f>
        <v>İşletmede temas yüzeyi bası gerilimi</v>
      </c>
      <c r="N33" s="152"/>
      <c r="O33" s="214"/>
      <c r="U33" s="101"/>
    </row>
    <row r="34" spans="2:21" ht="15" customHeight="1">
      <c r="B34" s="200" t="str">
        <f>0!B167</f>
        <v>Vidasız şaft boyu</v>
      </c>
      <c r="C34" s="163"/>
      <c r="D34" s="202" t="s">
        <v>148</v>
      </c>
      <c r="E34" s="257">
        <f>E22-E23</f>
        <v>75</v>
      </c>
      <c r="F34" s="756"/>
      <c r="G34" s="183" t="str">
        <f>0!B216</f>
        <v>Hesap. ön germe kuvveti</v>
      </c>
      <c r="H34" s="163"/>
      <c r="I34" s="185" t="s">
        <v>149</v>
      </c>
      <c r="J34" s="258">
        <f>0.9*E16*E37/(1+3*(4/E36*(0.159*E21+0.577*I14*E28))^2)^(0.5)</f>
        <v>117934.83900967013</v>
      </c>
      <c r="K34" s="101"/>
      <c r="M34" s="259" t="str">
        <f>0!B100</f>
        <v>Yüzey basıncı</v>
      </c>
      <c r="N34" s="260"/>
      <c r="O34" s="261"/>
      <c r="P34" s="262">
        <f>J38/P28</f>
        <v>342.2502608517875</v>
      </c>
      <c r="R34" s="211" t="s">
        <v>150</v>
      </c>
      <c r="S34" s="212">
        <f>$J$12/$P$34</f>
        <v>1.4317008810467962</v>
      </c>
      <c r="U34" s="101"/>
    </row>
    <row r="35" spans="2:21" ht="15" customHeight="1">
      <c r="B35" s="200" t="str">
        <f>0!B168</f>
        <v>Vidalı şaft boyu</v>
      </c>
      <c r="C35" s="163"/>
      <c r="D35" s="202" t="s">
        <v>113</v>
      </c>
      <c r="E35" s="257">
        <f>E24-E34</f>
        <v>5</v>
      </c>
      <c r="F35" s="756"/>
      <c r="G35" s="183" t="str">
        <f>0!B215</f>
        <v>Alınan ön germe kuvveti</v>
      </c>
      <c r="H35" s="184"/>
      <c r="I35" s="185" t="s">
        <v>151</v>
      </c>
      <c r="J35" s="132">
        <v>27.4</v>
      </c>
      <c r="K35" s="170" t="str">
        <f>K18</f>
        <v>Tablo 15</v>
      </c>
      <c r="L35" s="205">
        <f>L33+1</f>
        <v>5</v>
      </c>
      <c r="M35" s="63" t="str">
        <f>0!B51</f>
        <v>İşletmede genlik gerilimi</v>
      </c>
      <c r="N35" s="152"/>
      <c r="O35" s="214"/>
      <c r="R35" s="243" t="str">
        <f>IF(S34&lt;1,0!B254,0!B253)</f>
        <v>  Yeterli</v>
      </c>
      <c r="T35" s="68"/>
      <c r="U35" s="101"/>
    </row>
    <row r="36" spans="2:21" ht="15" customHeight="1">
      <c r="B36" s="200" t="str">
        <f>0!B195</f>
        <v>Gerilim çapı</v>
      </c>
      <c r="C36" s="163"/>
      <c r="D36" s="213" t="s">
        <v>152</v>
      </c>
      <c r="E36" s="263">
        <f>(E28+E30)/2</f>
        <v>17.654512500000003</v>
      </c>
      <c r="F36" s="756"/>
      <c r="G36" s="183" t="str">
        <f>0!B217</f>
        <v>max. Ön germe kuvveti</v>
      </c>
      <c r="H36" s="163"/>
      <c r="I36" s="185" t="s">
        <v>153</v>
      </c>
      <c r="J36" s="264">
        <f>J35*10^3-J30</f>
        <v>22063.368811280612</v>
      </c>
      <c r="K36" s="101"/>
      <c r="L36" s="101"/>
      <c r="M36" s="208" t="str">
        <f>0!B49</f>
        <v>Genlik kuvveti</v>
      </c>
      <c r="N36" s="209"/>
      <c r="O36" s="209" t="s">
        <v>154</v>
      </c>
      <c r="P36" s="265">
        <f>0.5*J28*(E7-E8)*10^3</f>
        <v>1357.7750371944028</v>
      </c>
      <c r="Q36" s="757" t="str">
        <f>1!Q7</f>
        <v>Tablo 10</v>
      </c>
      <c r="U36" s="101"/>
    </row>
    <row r="37" spans="2:21" ht="15" customHeight="1">
      <c r="B37" s="200" t="str">
        <f>0!B196</f>
        <v>Gerilim alanı</v>
      </c>
      <c r="C37" s="163"/>
      <c r="D37" s="213" t="s">
        <v>155</v>
      </c>
      <c r="E37" s="247">
        <f>PI()*((E28+E30)/2)^2/4</f>
        <v>244.79432240496976</v>
      </c>
      <c r="F37" s="756"/>
      <c r="G37" s="183" t="str">
        <f>0!B219</f>
        <v>Ön germe kuvveti, İş.</v>
      </c>
      <c r="H37" s="163"/>
      <c r="I37" s="185" t="s">
        <v>156</v>
      </c>
      <c r="J37" s="258">
        <f>J35*10^3/J17-J30-J32</f>
        <v>-15496.081114330584</v>
      </c>
      <c r="K37" s="101"/>
      <c r="L37" s="101"/>
      <c r="M37" s="217" t="str">
        <f>0!B50</f>
        <v>Genlik gerilimi</v>
      </c>
      <c r="N37" s="218"/>
      <c r="O37" s="218" t="s">
        <v>157</v>
      </c>
      <c r="P37" s="266">
        <f>P36/E31</f>
        <v>6.029469443186485</v>
      </c>
      <c r="Q37" s="757"/>
      <c r="R37" s="211" t="s">
        <v>158</v>
      </c>
      <c r="S37" s="212">
        <f>$P$38/$P$37</f>
        <v>8.29260359823231</v>
      </c>
      <c r="U37" s="101"/>
    </row>
    <row r="38" spans="2:18" ht="15" customHeight="1">
      <c r="B38" s="147" t="str">
        <f>0!B223</f>
        <v>Tor. Karşıkoyma Momenti</v>
      </c>
      <c r="C38" s="148"/>
      <c r="D38" s="267" t="s">
        <v>159</v>
      </c>
      <c r="E38" s="268">
        <f>PI()*E30^3/16</f>
        <v>953.274882260243</v>
      </c>
      <c r="F38" s="756"/>
      <c r="G38" s="269" t="str">
        <f>0!B177</f>
        <v>max. Cıvata kuvveti</v>
      </c>
      <c r="H38" s="148"/>
      <c r="I38" s="270" t="s">
        <v>160</v>
      </c>
      <c r="J38" s="271">
        <f>J36+J31</f>
        <v>24778.918885669416</v>
      </c>
      <c r="K38" s="101"/>
      <c r="L38" s="101"/>
      <c r="M38" s="144" t="str">
        <f>0!B48</f>
        <v>Genlik mukavemeti</v>
      </c>
      <c r="N38" s="226"/>
      <c r="O38" s="226" t="s">
        <v>161</v>
      </c>
      <c r="P38" s="272">
        <v>50</v>
      </c>
      <c r="Q38" s="757"/>
      <c r="R38" s="243" t="str">
        <f>IF(S37&lt;1,0!B254,0!B253)</f>
        <v>  Yeterli</v>
      </c>
    </row>
    <row r="39" spans="1:20" ht="15" customHeight="1">
      <c r="A39" s="273" t="s">
        <v>162</v>
      </c>
      <c r="B39" s="274" t="str">
        <f>0!B245</f>
        <v>1. Parça;bağlanan parçadır (hmin). 2. Parça;taşıyıcı ana parçadır. 3. Parça;ek konstruksiyon parçalarıdır.</v>
      </c>
      <c r="M39" s="758" t="str">
        <f>IF(MIN(S23:S38,S31:S35,S37)&lt;0.999,0!B251,0!B250)</f>
        <v>Bütün değerler yeterli. Konstruksiyon yapılabilir</v>
      </c>
      <c r="N39" s="758"/>
      <c r="O39" s="758"/>
      <c r="P39" s="758"/>
      <c r="Q39" s="758"/>
      <c r="R39" s="758"/>
      <c r="S39" s="758"/>
      <c r="T39" s="101"/>
    </row>
    <row r="40" spans="1:22" ht="15" customHeight="1">
      <c r="A40" s="275" t="s">
        <v>163</v>
      </c>
      <c r="B40" s="70" t="str">
        <f>0!B246</f>
        <v>Sıkıştırma momenti ve ön gerilme kuvveti ya tabeladan veya hesaplananmomente göre alınır.</v>
      </c>
      <c r="C40" s="101"/>
      <c r="D40" s="101"/>
      <c r="E40" s="101"/>
      <c r="F40" s="101"/>
      <c r="G40" s="101"/>
      <c r="L40" s="254"/>
      <c r="M40" s="758"/>
      <c r="N40" s="758"/>
      <c r="O40" s="758"/>
      <c r="P40" s="758"/>
      <c r="Q40" s="758"/>
      <c r="R40" s="758"/>
      <c r="S40" s="758"/>
      <c r="T40" s="101"/>
      <c r="V40" s="101"/>
    </row>
    <row r="41" spans="2:22" ht="15" customHeight="1">
      <c r="B41" s="115" t="str">
        <f>0!B56</f>
        <v>Düşünceler :</v>
      </c>
      <c r="C41" s="752"/>
      <c r="D41" s="752"/>
      <c r="E41" s="752"/>
      <c r="F41" s="752"/>
      <c r="G41" s="752"/>
      <c r="H41" s="752"/>
      <c r="I41" s="752"/>
      <c r="J41" s="752"/>
      <c r="K41" s="752"/>
      <c r="L41" s="752"/>
      <c r="M41" s="752"/>
      <c r="N41" s="752"/>
      <c r="O41" s="752"/>
      <c r="P41" s="752"/>
      <c r="Q41" s="752"/>
      <c r="R41" s="752"/>
      <c r="S41" s="752"/>
      <c r="T41" s="277"/>
      <c r="U41" s="277"/>
      <c r="V41" s="72"/>
    </row>
    <row r="42" spans="2:16" ht="14.25" customHeight="1">
      <c r="B42" s="62" t="str">
        <f>0!B247</f>
        <v>Bu programdaki devamlı mukavemet hesabı, civata kafası presleme ve vida ovalama metoduyla imal edilmiş vede imalat bitiminde islah edilmiş civatalar için geçerlidir.</v>
      </c>
      <c r="H42" s="101"/>
      <c r="I42" s="101"/>
      <c r="J42" s="101"/>
      <c r="K42" s="101"/>
      <c r="L42" s="254"/>
      <c r="M42" s="278" t="s">
        <v>164</v>
      </c>
      <c r="N42" s="279" t="s">
        <v>165</v>
      </c>
      <c r="O42" s="280"/>
      <c r="P42" s="281"/>
    </row>
    <row r="43" spans="9:14" s="67" customFormat="1" ht="15" customHeight="1">
      <c r="I43" s="282"/>
      <c r="J43" s="282"/>
      <c r="K43" s="282"/>
      <c r="L43" s="68"/>
      <c r="M43" s="68"/>
      <c r="N43" s="68"/>
    </row>
    <row r="44" spans="9:14" s="67" customFormat="1" ht="15" customHeight="1">
      <c r="I44" s="282"/>
      <c r="J44" s="282"/>
      <c r="K44" s="282"/>
      <c r="L44" s="68"/>
      <c r="M44" s="68"/>
      <c r="N44" s="68"/>
    </row>
    <row r="45" spans="3:14" s="67" customFormat="1" ht="15" customHeight="1">
      <c r="C45" s="101"/>
      <c r="D45" s="101"/>
      <c r="E45" s="101"/>
      <c r="F45" s="101"/>
      <c r="G45" s="101"/>
      <c r="H45" s="71"/>
      <c r="I45" s="71"/>
      <c r="J45" s="68"/>
      <c r="K45" s="68"/>
      <c r="L45" s="68"/>
      <c r="M45" s="68"/>
      <c r="N45" s="68"/>
    </row>
    <row r="46" spans="9:28" s="67" customFormat="1" ht="15" customHeight="1" hidden="1">
      <c r="I46" s="282"/>
      <c r="J46" s="282"/>
      <c r="K46" s="282"/>
      <c r="L46" s="68"/>
      <c r="M46" s="68"/>
      <c r="N46" s="68"/>
      <c r="X46" s="101"/>
      <c r="Y46" s="101"/>
      <c r="Z46" s="101"/>
      <c r="AA46" s="101"/>
      <c r="AB46" s="101"/>
    </row>
    <row r="47" spans="8:28" s="67" customFormat="1" ht="15" customHeight="1" hidden="1">
      <c r="H47" s="67">
        <v>35</v>
      </c>
      <c r="I47" s="282"/>
      <c r="J47" s="282"/>
      <c r="K47" s="282"/>
      <c r="L47" s="68"/>
      <c r="M47" s="68"/>
      <c r="N47" s="68"/>
      <c r="X47" s="101"/>
      <c r="Y47" s="101"/>
      <c r="Z47" s="101"/>
      <c r="AA47" s="101"/>
      <c r="AB47" s="101"/>
    </row>
    <row r="48" spans="8:28" s="67" customFormat="1" ht="15" customHeight="1" hidden="1">
      <c r="H48" s="67">
        <v>45</v>
      </c>
      <c r="I48" s="282"/>
      <c r="J48" s="282"/>
      <c r="K48" s="282"/>
      <c r="L48" s="68"/>
      <c r="M48" s="68"/>
      <c r="N48" s="68"/>
      <c r="Q48" s="283" t="s">
        <v>166</v>
      </c>
      <c r="R48" s="284">
        <f>0.4*E20/E17/E33</f>
        <v>1.2126090902239643E-07</v>
      </c>
      <c r="Y48" s="101"/>
      <c r="Z48" s="101"/>
      <c r="AA48" s="101"/>
      <c r="AB48" s="101"/>
    </row>
    <row r="49" spans="9:28" s="67" customFormat="1" ht="15" customHeight="1" hidden="1">
      <c r="I49" s="282"/>
      <c r="J49" s="282"/>
      <c r="K49" s="282"/>
      <c r="L49" s="68"/>
      <c r="M49" s="68"/>
      <c r="N49" s="68"/>
      <c r="Q49" s="283" t="s">
        <v>167</v>
      </c>
      <c r="R49" s="285">
        <f>E34/E17/E33</f>
        <v>1.1368210220849666E-06</v>
      </c>
      <c r="Y49" s="101"/>
      <c r="Z49" s="101"/>
      <c r="AA49" s="101"/>
      <c r="AB49" s="101"/>
    </row>
    <row r="50" spans="9:28" s="67" customFormat="1" ht="15" customHeight="1" hidden="1">
      <c r="I50" s="282"/>
      <c r="J50" s="282"/>
      <c r="K50" s="282"/>
      <c r="L50" s="68"/>
      <c r="M50" s="68"/>
      <c r="N50" s="68"/>
      <c r="Q50" s="283" t="s">
        <v>168</v>
      </c>
      <c r="R50" s="285">
        <f>E35/E17/E37</f>
        <v>9.726338248211117E-08</v>
      </c>
      <c r="Y50" s="101"/>
      <c r="Z50" s="101"/>
      <c r="AA50" s="101"/>
      <c r="AB50" s="101"/>
    </row>
    <row r="51" spans="9:28" s="67" customFormat="1" ht="15" customHeight="1" hidden="1">
      <c r="I51" s="282"/>
      <c r="J51" s="282"/>
      <c r="K51" s="282"/>
      <c r="L51" s="68"/>
      <c r="M51" s="68"/>
      <c r="N51" s="68"/>
      <c r="Q51" s="283" t="s">
        <v>169</v>
      </c>
      <c r="R51" s="285">
        <f>0.5*E20/E17/E31</f>
        <v>2.114618288505042E-07</v>
      </c>
      <c r="Y51" s="101"/>
      <c r="Z51" s="101"/>
      <c r="AA51" s="101"/>
      <c r="AB51" s="101"/>
    </row>
    <row r="52" spans="1:28" s="67" customFormat="1" ht="15" customHeight="1" hidden="1">
      <c r="A52" s="101"/>
      <c r="B52" s="101"/>
      <c r="C52" s="101"/>
      <c r="I52" s="282"/>
      <c r="J52" s="282"/>
      <c r="K52" s="282"/>
      <c r="L52" s="68"/>
      <c r="M52" s="68"/>
      <c r="N52" s="68"/>
      <c r="Q52" s="283" t="s">
        <v>170</v>
      </c>
      <c r="R52" s="285">
        <f>0.4*E20/E17/E33</f>
        <v>1.2126090902239643E-07</v>
      </c>
      <c r="Y52" s="101"/>
      <c r="Z52" s="101"/>
      <c r="AA52" s="101"/>
      <c r="AB52" s="101"/>
    </row>
    <row r="53" spans="1:28" s="67" customFormat="1" ht="15" customHeight="1" hidden="1">
      <c r="A53" s="101"/>
      <c r="B53" s="101"/>
      <c r="C53" s="101"/>
      <c r="I53" s="282"/>
      <c r="J53" s="282"/>
      <c r="K53" s="282"/>
      <c r="L53" s="68"/>
      <c r="M53" s="68"/>
      <c r="N53" s="68"/>
      <c r="Q53" s="283" t="s">
        <v>171</v>
      </c>
      <c r="R53" s="286">
        <f>SUM(R48:R52)</f>
        <v>1.6880680514623746E-06</v>
      </c>
      <c r="Y53" s="101"/>
      <c r="Z53" s="101"/>
      <c r="AA53" s="101"/>
      <c r="AB53" s="101"/>
    </row>
    <row r="54" spans="1:28" s="67" customFormat="1" ht="15" customHeight="1" hidden="1">
      <c r="A54" s="101"/>
      <c r="B54" s="101"/>
      <c r="C54" s="101"/>
      <c r="I54" s="282"/>
      <c r="J54" s="282"/>
      <c r="K54" s="282"/>
      <c r="L54" s="68"/>
      <c r="M54" s="68"/>
      <c r="N54" s="68"/>
      <c r="W54" s="101"/>
      <c r="X54" s="101"/>
      <c r="Y54" s="101"/>
      <c r="Z54" s="101"/>
      <c r="AA54" s="101"/>
      <c r="AB54" s="101"/>
    </row>
    <row r="55" spans="9:28" s="67" customFormat="1" ht="15" customHeight="1" hidden="1">
      <c r="I55" s="282"/>
      <c r="J55" s="282"/>
      <c r="K55" s="282"/>
      <c r="L55" s="68"/>
      <c r="M55" s="68"/>
      <c r="N55" s="68"/>
      <c r="Q55" s="283" t="s">
        <v>172</v>
      </c>
      <c r="R55" s="285">
        <f>$H$9/H10/$J$25</f>
        <v>3.7315739414306313E-07</v>
      </c>
      <c r="W55" s="101"/>
      <c r="X55" s="101"/>
      <c r="Y55" s="101"/>
      <c r="Z55" s="101"/>
      <c r="AA55" s="101"/>
      <c r="AB55" s="101"/>
    </row>
    <row r="56" spans="9:28" s="67" customFormat="1" ht="15" customHeight="1" hidden="1">
      <c r="I56" s="282"/>
      <c r="J56" s="282"/>
      <c r="K56" s="282"/>
      <c r="L56" s="68"/>
      <c r="M56" s="68"/>
      <c r="N56" s="68"/>
      <c r="Q56" s="283" t="s">
        <v>173</v>
      </c>
      <c r="R56" s="285">
        <f>IF($I$9&gt;0,$I$9/I10/$J$25,"")</f>
      </c>
      <c r="W56" s="101"/>
      <c r="X56" s="101"/>
      <c r="Y56" s="101"/>
      <c r="Z56" s="101"/>
      <c r="AA56" s="101"/>
      <c r="AB56" s="101"/>
    </row>
    <row r="57" spans="9:24" s="67" customFormat="1" ht="15" customHeight="1" hidden="1">
      <c r="I57" s="282"/>
      <c r="J57" s="282"/>
      <c r="K57" s="282"/>
      <c r="L57" s="68"/>
      <c r="M57" s="68"/>
      <c r="N57" s="68"/>
      <c r="Q57" s="283" t="s">
        <v>174</v>
      </c>
      <c r="R57" s="285">
        <f>IF($J$9&lt;=0,"",$J$9/J10/$J$25)</f>
      </c>
      <c r="W57" s="101"/>
      <c r="X57" s="101"/>
    </row>
    <row r="58" spans="9:19" s="67" customFormat="1" ht="15" customHeight="1" hidden="1">
      <c r="I58" s="282"/>
      <c r="J58" s="282"/>
      <c r="K58" s="282"/>
      <c r="L58" s="68"/>
      <c r="M58" s="68"/>
      <c r="N58" s="68"/>
      <c r="Q58" s="283" t="s">
        <v>175</v>
      </c>
      <c r="R58" s="753">
        <f>SUM(R55:R57)</f>
        <v>3.7315739414306313E-07</v>
      </c>
      <c r="S58" s="753"/>
    </row>
    <row r="59" spans="9:18" s="67" customFormat="1" ht="15" customHeight="1" hidden="1">
      <c r="I59" s="282"/>
      <c r="J59" s="282"/>
      <c r="K59" s="282"/>
      <c r="L59" s="68"/>
      <c r="M59" s="68"/>
      <c r="N59" s="68"/>
      <c r="Q59" s="101"/>
      <c r="R59" s="101"/>
    </row>
    <row r="60" spans="9:18" s="67" customFormat="1" ht="15" customHeight="1" hidden="1">
      <c r="I60" s="282"/>
      <c r="J60" s="282"/>
      <c r="K60" s="282"/>
      <c r="L60" s="68"/>
      <c r="M60" s="68"/>
      <c r="N60" s="68"/>
      <c r="Q60" s="101"/>
      <c r="R60" s="101"/>
    </row>
    <row r="61" spans="9:14" s="67" customFormat="1" ht="15" customHeight="1" hidden="1">
      <c r="I61" s="282"/>
      <c r="J61" s="282"/>
      <c r="K61" s="282"/>
      <c r="L61" s="68"/>
      <c r="M61" s="68"/>
      <c r="N61" s="68"/>
    </row>
    <row r="62" spans="1:18" s="67" customFormat="1" ht="15" customHeight="1" hidden="1">
      <c r="A62" s="101"/>
      <c r="B62" s="101"/>
      <c r="C62" s="101"/>
      <c r="D62" s="287"/>
      <c r="G62" s="101"/>
      <c r="H62" s="101"/>
      <c r="I62" s="101"/>
      <c r="J62" s="101"/>
      <c r="K62" s="101"/>
      <c r="L62" s="68"/>
      <c r="M62" s="68"/>
      <c r="N62" s="68"/>
      <c r="O62" s="101"/>
      <c r="Q62" s="288" t="s">
        <v>176</v>
      </c>
      <c r="R62" s="67">
        <f>R58/(R58+J20)*J27</f>
        <v>0.09051833581296019</v>
      </c>
    </row>
    <row r="63" spans="1:18" s="67" customFormat="1" ht="15" customHeight="1" hidden="1">
      <c r="A63" s="101"/>
      <c r="B63" s="101"/>
      <c r="C63" s="101"/>
      <c r="D63" s="287"/>
      <c r="G63" s="101"/>
      <c r="H63" s="101"/>
      <c r="I63" s="101"/>
      <c r="J63" s="101"/>
      <c r="K63" s="101"/>
      <c r="L63" s="68"/>
      <c r="M63" s="68"/>
      <c r="N63" s="68"/>
      <c r="O63" s="101"/>
      <c r="R63" s="101"/>
    </row>
    <row r="64" spans="1:18" s="67" customFormat="1" ht="15" customHeight="1" hidden="1">
      <c r="A64" s="101"/>
      <c r="B64" s="101"/>
      <c r="C64" s="101"/>
      <c r="D64" s="287"/>
      <c r="G64" s="101"/>
      <c r="H64" s="101"/>
      <c r="I64" s="101"/>
      <c r="J64" s="101"/>
      <c r="K64" s="101"/>
      <c r="L64" s="68"/>
      <c r="M64" s="68"/>
      <c r="N64" s="68"/>
      <c r="O64" s="101"/>
      <c r="P64"/>
      <c r="Q64"/>
      <c r="R64"/>
    </row>
    <row r="65" spans="7:29" s="67" customFormat="1" ht="15" customHeight="1" hidden="1">
      <c r="G65" s="101"/>
      <c r="H65" s="101"/>
      <c r="I65" s="101"/>
      <c r="J65" s="101"/>
      <c r="K65" s="68"/>
      <c r="L65" s="68"/>
      <c r="M65" s="68"/>
      <c r="N65" s="68"/>
      <c r="P65"/>
      <c r="Q65"/>
      <c r="R65"/>
      <c r="W65" s="101"/>
      <c r="X65" s="101"/>
      <c r="Y65" s="101"/>
      <c r="Z65" s="101"/>
      <c r="AA65" s="101"/>
      <c r="AB65" s="101"/>
      <c r="AC65" s="101"/>
    </row>
    <row r="66" spans="10:29" s="67" customFormat="1" ht="15" customHeight="1" hidden="1">
      <c r="J66" s="68"/>
      <c r="K66" s="68"/>
      <c r="L66" s="68"/>
      <c r="M66" s="68"/>
      <c r="N66" s="68"/>
      <c r="P66"/>
      <c r="Q66"/>
      <c r="R66"/>
      <c r="W66" s="101"/>
      <c r="X66" s="101"/>
      <c r="Y66" s="101"/>
      <c r="Z66" s="101"/>
      <c r="AA66" s="101"/>
      <c r="AB66" s="101"/>
      <c r="AC66" s="101"/>
    </row>
    <row r="67" spans="1:29" s="67" customFormat="1" ht="15" customHeight="1" hidden="1">
      <c r="A67" s="101"/>
      <c r="D67" s="282"/>
      <c r="H67" s="101"/>
      <c r="J67" s="68"/>
      <c r="K67" s="68"/>
      <c r="L67" s="68"/>
      <c r="M67" s="68"/>
      <c r="N67" s="68"/>
      <c r="O67" s="115"/>
      <c r="Q67" s="101"/>
      <c r="R67" s="101"/>
      <c r="W67" s="101"/>
      <c r="X67" s="101"/>
      <c r="Y67" s="101"/>
      <c r="Z67" s="101"/>
      <c r="AA67" s="101"/>
      <c r="AB67" s="101"/>
      <c r="AC67" s="101"/>
    </row>
    <row r="68" spans="1:29" s="67" customFormat="1" ht="15" customHeight="1" hidden="1">
      <c r="A68" s="101"/>
      <c r="D68" s="282"/>
      <c r="H68" s="101"/>
      <c r="J68" s="68"/>
      <c r="K68" s="68"/>
      <c r="L68" s="68"/>
      <c r="M68" s="68"/>
      <c r="N68" s="68"/>
      <c r="O68" s="101"/>
      <c r="Q68" s="101"/>
      <c r="R68" s="101"/>
      <c r="W68" s="101"/>
      <c r="X68" s="101"/>
      <c r="Y68" s="101"/>
      <c r="Z68" s="101"/>
      <c r="AA68" s="101"/>
      <c r="AB68" s="101"/>
      <c r="AC68" s="101"/>
    </row>
    <row r="69" spans="1:29" s="67" customFormat="1" ht="15" customHeight="1" hidden="1">
      <c r="A69" s="101"/>
      <c r="D69" s="282"/>
      <c r="H69" s="101"/>
      <c r="Q69" s="101"/>
      <c r="R69" s="101"/>
      <c r="W69" s="101"/>
      <c r="X69" s="101"/>
      <c r="Y69" s="101"/>
      <c r="Z69" s="101"/>
      <c r="AA69" s="101"/>
      <c r="AB69" s="101"/>
      <c r="AC69" s="101"/>
    </row>
    <row r="70" spans="15:29" s="67" customFormat="1" ht="15" customHeight="1" hidden="1">
      <c r="O70" s="115" t="s">
        <v>177</v>
      </c>
      <c r="P70" s="67">
        <f>E7*1*R95/R97*10^3</f>
        <v>0.7278020148466237</v>
      </c>
      <c r="Q70" s="101"/>
      <c r="R70" s="101"/>
      <c r="W70" s="101"/>
      <c r="X70" s="101"/>
      <c r="Y70" s="101"/>
      <c r="Z70" s="101"/>
      <c r="AA70" s="101"/>
      <c r="AB70" s="101"/>
      <c r="AC70" s="101"/>
    </row>
    <row r="71" spans="2:29" s="67" customFormat="1" ht="15" customHeight="1" hidden="1">
      <c r="B71" s="282"/>
      <c r="C71" s="282"/>
      <c r="D71" s="282"/>
      <c r="E71" s="282"/>
      <c r="F71" s="282"/>
      <c r="G71" s="282"/>
      <c r="H71" s="282"/>
      <c r="I71" s="282"/>
      <c r="O71" s="115" t="s">
        <v>178</v>
      </c>
      <c r="P71" s="71">
        <f>(E24*E26/J23^2)^(1/3)</f>
        <v>0.986484829732188</v>
      </c>
      <c r="Q71" s="101"/>
      <c r="R71" s="289"/>
      <c r="W71" s="101"/>
      <c r="X71" s="101"/>
      <c r="Y71" s="101"/>
      <c r="Z71" s="101"/>
      <c r="AA71" s="101"/>
      <c r="AB71" s="101"/>
      <c r="AC71" s="101"/>
    </row>
    <row r="72" spans="10:29" s="67" customFormat="1" ht="15" customHeight="1" hidden="1">
      <c r="J72" s="68"/>
      <c r="K72" s="68"/>
      <c r="L72" s="68"/>
      <c r="M72" s="68"/>
      <c r="N72" s="68"/>
      <c r="Q72" s="101"/>
      <c r="R72" s="289"/>
      <c r="W72" s="101"/>
      <c r="X72" s="101"/>
      <c r="Y72" s="101"/>
      <c r="Z72" s="101"/>
      <c r="AA72" s="101"/>
      <c r="AB72" s="101"/>
      <c r="AC72" s="101"/>
    </row>
    <row r="73" spans="10:29" s="67" customFormat="1" ht="15" customHeight="1" hidden="1">
      <c r="J73" s="68"/>
      <c r="K73" s="68"/>
      <c r="L73" s="68"/>
      <c r="M73" s="68"/>
      <c r="N73" s="68"/>
      <c r="Q73" s="283" t="s">
        <v>179</v>
      </c>
      <c r="R73" s="290">
        <f>0.5*E20/E17/R90</f>
        <v>6.063045451119823E-09</v>
      </c>
      <c r="W73" s="101"/>
      <c r="X73" s="101"/>
      <c r="Y73" s="101"/>
      <c r="Z73" s="101"/>
      <c r="AA73" s="101"/>
      <c r="AB73" s="101"/>
      <c r="AC73" s="101"/>
    </row>
    <row r="74" spans="10:29" s="67" customFormat="1" ht="15" customHeight="1" hidden="1">
      <c r="J74" s="68"/>
      <c r="K74" s="68"/>
      <c r="L74" s="68"/>
      <c r="M74" s="68"/>
      <c r="N74" s="68"/>
      <c r="Q74" s="283" t="s">
        <v>180</v>
      </c>
      <c r="R74" s="290">
        <f>E34/E17/R90</f>
        <v>4.547284088339867E-08</v>
      </c>
      <c r="W74" s="101"/>
      <c r="X74" s="101"/>
      <c r="Y74" s="101"/>
      <c r="Z74" s="101"/>
      <c r="AA74" s="101"/>
      <c r="AB74" s="101"/>
      <c r="AC74" s="101"/>
    </row>
    <row r="75" spans="10:30" s="67" customFormat="1" ht="15" customHeight="1" hidden="1">
      <c r="J75" s="68"/>
      <c r="K75" s="68"/>
      <c r="L75" s="68"/>
      <c r="M75" s="68"/>
      <c r="N75" s="68"/>
      <c r="Q75" s="283" t="s">
        <v>181</v>
      </c>
      <c r="R75" s="290">
        <f>E35/E17/R91</f>
        <v>5.900151060558652E-09</v>
      </c>
      <c r="W75" s="101"/>
      <c r="X75" s="101"/>
      <c r="Y75" s="101"/>
      <c r="Z75" s="101"/>
      <c r="AA75" s="101"/>
      <c r="AB75" s="101"/>
      <c r="AC75" s="101"/>
      <c r="AD75" s="101"/>
    </row>
    <row r="76" spans="1:30" s="67" customFormat="1" ht="15" customHeight="1" hidden="1">
      <c r="A76" s="101"/>
      <c r="B76" s="101"/>
      <c r="C76" s="101"/>
      <c r="D76" s="101"/>
      <c r="J76" s="68"/>
      <c r="K76" s="68"/>
      <c r="L76" s="68"/>
      <c r="M76" s="68"/>
      <c r="N76" s="68"/>
      <c r="Q76" s="283" t="s">
        <v>182</v>
      </c>
      <c r="R76" s="290">
        <f>0.5*E20/E17/R91</f>
        <v>1.1800302121117304E-08</v>
      </c>
      <c r="W76" s="101"/>
      <c r="X76" s="101"/>
      <c r="Y76" s="101"/>
      <c r="Z76" s="101"/>
      <c r="AA76" s="101"/>
      <c r="AB76" s="101"/>
      <c r="AC76" s="101"/>
      <c r="AD76" s="101"/>
    </row>
    <row r="77" spans="1:30" s="67" customFormat="1" ht="15" customHeight="1" hidden="1">
      <c r="A77" s="101"/>
      <c r="B77" s="101"/>
      <c r="C77" s="101"/>
      <c r="D77" s="101"/>
      <c r="E77" s="101"/>
      <c r="F77" s="101"/>
      <c r="G77" s="101"/>
      <c r="H77" s="101"/>
      <c r="I77" s="290"/>
      <c r="J77" s="291"/>
      <c r="K77" s="291"/>
      <c r="L77" s="291"/>
      <c r="M77" s="291"/>
      <c r="N77" s="291"/>
      <c r="Q77" s="283" t="s">
        <v>182</v>
      </c>
      <c r="R77" s="290">
        <f>0.4*E20/E17/R90</f>
        <v>4.850436360895858E-09</v>
      </c>
      <c r="W77" s="101"/>
      <c r="X77" s="101"/>
      <c r="Y77" s="101"/>
      <c r="Z77" s="101"/>
      <c r="AA77" s="101"/>
      <c r="AB77" s="101"/>
      <c r="AC77" s="101"/>
      <c r="AD77" s="101"/>
    </row>
    <row r="78" spans="1:30" s="67" customFormat="1" ht="15" customHeight="1" hidden="1">
      <c r="A78" s="101"/>
      <c r="B78" s="101"/>
      <c r="C78" s="101"/>
      <c r="D78" s="101"/>
      <c r="E78" s="101"/>
      <c r="F78" s="101"/>
      <c r="G78" s="101"/>
      <c r="H78" s="101"/>
      <c r="I78" s="290"/>
      <c r="J78" s="291"/>
      <c r="K78" s="291"/>
      <c r="L78" s="291"/>
      <c r="M78" s="291"/>
      <c r="N78" s="291"/>
      <c r="Q78" s="283" t="s">
        <v>183</v>
      </c>
      <c r="R78" s="292">
        <f>SUM(R73:R77)</f>
        <v>7.40867758770903E-08</v>
      </c>
      <c r="W78" s="101"/>
      <c r="X78" s="101"/>
      <c r="Y78" s="101"/>
      <c r="Z78" s="101"/>
      <c r="AA78" s="101"/>
      <c r="AB78" s="101"/>
      <c r="AC78" s="101"/>
      <c r="AD78" s="101"/>
    </row>
    <row r="79" spans="1:30" s="67" customFormat="1" ht="15" customHeight="1" hidden="1">
      <c r="A79" s="101"/>
      <c r="B79" s="101"/>
      <c r="C79" s="101"/>
      <c r="D79" s="101"/>
      <c r="E79" s="101"/>
      <c r="F79" s="101"/>
      <c r="G79" s="101"/>
      <c r="H79" s="101"/>
      <c r="I79" s="290"/>
      <c r="J79" s="291"/>
      <c r="K79" s="291"/>
      <c r="L79" s="291"/>
      <c r="M79" s="291"/>
      <c r="N79" s="291"/>
      <c r="W79" s="101"/>
      <c r="X79" s="101"/>
      <c r="Y79" s="101"/>
      <c r="Z79" s="101"/>
      <c r="AA79" s="101"/>
      <c r="AB79" s="101"/>
      <c r="AC79" s="101"/>
      <c r="AD79" s="101"/>
    </row>
    <row r="80" spans="10:30" s="67" customFormat="1" ht="15" customHeight="1" hidden="1">
      <c r="J80" s="68"/>
      <c r="K80" s="68"/>
      <c r="L80" s="68"/>
      <c r="M80" s="68"/>
      <c r="N80" s="68"/>
      <c r="W80" s="101"/>
      <c r="X80" s="101"/>
      <c r="Y80" s="101"/>
      <c r="Z80" s="101"/>
      <c r="AA80" s="101"/>
      <c r="AB80" s="101"/>
      <c r="AC80" s="101"/>
      <c r="AD80" s="101"/>
    </row>
    <row r="81" spans="1:30" s="67" customFormat="1" ht="15" customHeight="1" hidden="1">
      <c r="A81" s="101"/>
      <c r="B81" s="101"/>
      <c r="J81" s="68"/>
      <c r="K81" s="68"/>
      <c r="L81" s="68"/>
      <c r="M81" s="68"/>
      <c r="N81" s="68"/>
      <c r="W81" s="101"/>
      <c r="X81" s="101"/>
      <c r="Y81" s="101"/>
      <c r="Z81" s="101"/>
      <c r="AA81" s="101"/>
      <c r="AB81" s="101"/>
      <c r="AC81" s="101"/>
      <c r="AD81" s="101"/>
    </row>
    <row r="82" spans="1:31" s="67" customFormat="1" ht="15" customHeight="1" hidden="1">
      <c r="A82" s="101"/>
      <c r="B82" s="101"/>
      <c r="J82" s="68"/>
      <c r="K82" s="68"/>
      <c r="L82" s="68"/>
      <c r="M82" s="68"/>
      <c r="N82" s="68"/>
      <c r="W82" s="101"/>
      <c r="X82" s="101"/>
      <c r="Y82" s="101"/>
      <c r="Z82" s="101"/>
      <c r="AA82" s="101"/>
      <c r="AB82" s="101"/>
      <c r="AC82" s="101"/>
      <c r="AD82" s="101"/>
      <c r="AE82" s="71"/>
    </row>
    <row r="83" spans="1:31" s="67" customFormat="1" ht="15" customHeight="1" hidden="1">
      <c r="A83" s="101"/>
      <c r="B83" s="101"/>
      <c r="J83" s="68"/>
      <c r="K83" s="68"/>
      <c r="L83" s="68"/>
      <c r="M83" s="68"/>
      <c r="N83" s="68"/>
      <c r="W83" s="101"/>
      <c r="X83" s="101"/>
      <c r="Y83" s="101"/>
      <c r="Z83" s="101"/>
      <c r="AA83" s="101"/>
      <c r="AB83" s="101"/>
      <c r="AC83" s="101"/>
      <c r="AD83" s="101"/>
      <c r="AE83" s="71"/>
    </row>
    <row r="84" spans="10:31" s="67" customFormat="1" ht="15" customHeight="1" hidden="1">
      <c r="J84" s="68"/>
      <c r="K84" s="68"/>
      <c r="L84" s="68"/>
      <c r="M84" s="68"/>
      <c r="N84" s="68"/>
      <c r="W84" s="101"/>
      <c r="X84" s="101"/>
      <c r="Y84" s="101"/>
      <c r="Z84" s="101"/>
      <c r="AA84" s="101"/>
      <c r="AB84" s="101"/>
      <c r="AC84" s="101"/>
      <c r="AD84" s="101"/>
      <c r="AE84" s="71"/>
    </row>
    <row r="85" spans="1:32" s="67" customFormat="1" ht="15" customHeight="1" hidden="1">
      <c r="A85" s="101"/>
      <c r="B85" s="101"/>
      <c r="C85" s="101"/>
      <c r="D85" s="101"/>
      <c r="E85" s="101"/>
      <c r="F85" s="101"/>
      <c r="G85" s="101"/>
      <c r="H85" s="101"/>
      <c r="I85" s="101"/>
      <c r="J85" s="101"/>
      <c r="K85" s="68"/>
      <c r="L85" s="68"/>
      <c r="M85" s="68"/>
      <c r="N85" s="68"/>
      <c r="W85" s="101"/>
      <c r="X85" s="101"/>
      <c r="Y85" s="101"/>
      <c r="Z85" s="101"/>
      <c r="AA85" s="101"/>
      <c r="AB85" s="101"/>
      <c r="AC85" s="101"/>
      <c r="AD85" s="101"/>
      <c r="AE85" s="71"/>
      <c r="AF85" s="71"/>
    </row>
    <row r="86" spans="1:32" s="67" customFormat="1" ht="15" customHeight="1" hidden="1">
      <c r="A86" s="101"/>
      <c r="B86" s="101"/>
      <c r="C86" s="101"/>
      <c r="D86" s="101"/>
      <c r="E86" s="101"/>
      <c r="F86" s="101"/>
      <c r="G86" s="101"/>
      <c r="H86" s="101"/>
      <c r="I86" s="101"/>
      <c r="J86" s="101"/>
      <c r="K86" s="68"/>
      <c r="L86" s="68"/>
      <c r="M86" s="68"/>
      <c r="N86" s="68"/>
      <c r="W86" s="101"/>
      <c r="X86" s="101"/>
      <c r="Y86" s="101"/>
      <c r="Z86" s="101"/>
      <c r="AA86" s="101"/>
      <c r="AB86" s="101"/>
      <c r="AC86" s="101"/>
      <c r="AD86" s="101"/>
      <c r="AE86" s="71"/>
      <c r="AF86" s="71"/>
    </row>
    <row r="87" spans="1:32" s="67" customFormat="1" ht="15" customHeight="1" hidden="1">
      <c r="A87" s="101"/>
      <c r="B87" s="101"/>
      <c r="C87" s="101"/>
      <c r="D87" s="101"/>
      <c r="E87" s="101"/>
      <c r="F87" s="101"/>
      <c r="G87" s="101"/>
      <c r="H87" s="101"/>
      <c r="I87" s="101"/>
      <c r="J87" s="101"/>
      <c r="K87" s="68"/>
      <c r="L87" s="68"/>
      <c r="M87" s="68"/>
      <c r="N87" s="68"/>
      <c r="W87" s="101"/>
      <c r="X87" s="71"/>
      <c r="Y87" s="71"/>
      <c r="Z87" s="71"/>
      <c r="AA87" s="71"/>
      <c r="AB87" s="71"/>
      <c r="AC87" s="71"/>
      <c r="AD87" s="71"/>
      <c r="AE87" s="71"/>
      <c r="AF87" s="71"/>
    </row>
    <row r="88" spans="10:23" s="67" customFormat="1" ht="15" customHeight="1" hidden="1">
      <c r="J88" s="68"/>
      <c r="K88" s="68"/>
      <c r="L88" s="68"/>
      <c r="M88" s="283"/>
      <c r="N88" s="283"/>
      <c r="Q88" s="115" t="s">
        <v>184</v>
      </c>
      <c r="R88" s="67">
        <f>IF(I10&gt;0,1000*H10/I10,1000)</f>
        <v>1000</v>
      </c>
      <c r="W88" s="71"/>
    </row>
    <row r="89" spans="12:23" s="67" customFormat="1" ht="15" customHeight="1" hidden="1">
      <c r="L89" s="68"/>
      <c r="Q89" s="115" t="s">
        <v>185</v>
      </c>
      <c r="R89" s="293">
        <f>H9</f>
        <v>80</v>
      </c>
      <c r="W89" s="71"/>
    </row>
    <row r="90" spans="10:23" s="67" customFormat="1" ht="15.75" hidden="1">
      <c r="J90" s="68"/>
      <c r="K90" s="68"/>
      <c r="L90" s="68"/>
      <c r="Q90" s="115" t="s">
        <v>186</v>
      </c>
      <c r="R90" s="294">
        <f>PI()*E20^4/64</f>
        <v>7853.981633974483</v>
      </c>
      <c r="W90" s="71"/>
    </row>
    <row r="91" spans="10:18" s="67" customFormat="1" ht="15.75" hidden="1">
      <c r="J91" s="68"/>
      <c r="K91" s="68"/>
      <c r="L91" s="68"/>
      <c r="Q91" s="115" t="s">
        <v>187</v>
      </c>
      <c r="R91" s="294">
        <f>PI()*E30^4/64</f>
        <v>4035.4091895520755</v>
      </c>
    </row>
    <row r="92" spans="10:18" s="67" customFormat="1" ht="15.75" hidden="1">
      <c r="J92" s="68"/>
      <c r="K92" s="68"/>
      <c r="L92" s="68"/>
      <c r="Q92" s="115" t="s">
        <v>188</v>
      </c>
      <c r="R92" s="295">
        <f>R78*R91*E17</f>
        <v>62.78379580172601</v>
      </c>
    </row>
    <row r="93" spans="1:18" s="67" customFormat="1" ht="15.75" hidden="1">
      <c r="A93" s="71"/>
      <c r="B93" s="71"/>
      <c r="C93" s="71"/>
      <c r="D93" s="71"/>
      <c r="E93" s="71"/>
      <c r="F93" s="71"/>
      <c r="G93" s="71"/>
      <c r="H93" s="71"/>
      <c r="I93" s="68"/>
      <c r="J93" s="68"/>
      <c r="K93" s="68"/>
      <c r="L93" s="68"/>
      <c r="Q93" s="115" t="s">
        <v>189</v>
      </c>
      <c r="R93" s="296">
        <f>PI()*((E26+R89)^4-E27^4)/64</f>
        <v>7175385.054428473</v>
      </c>
    </row>
    <row r="94" spans="1:18" s="67" customFormat="1" ht="15.75" hidden="1">
      <c r="A94" s="71"/>
      <c r="B94" s="71"/>
      <c r="C94" s="71"/>
      <c r="D94" s="71"/>
      <c r="E94" s="71"/>
      <c r="F94" s="71"/>
      <c r="G94" s="71"/>
      <c r="H94" s="71"/>
      <c r="I94" s="68"/>
      <c r="J94" s="68"/>
      <c r="K94" s="68"/>
      <c r="L94" s="68"/>
      <c r="O94" s="282"/>
      <c r="Q94" s="115" t="s">
        <v>190</v>
      </c>
      <c r="R94" s="296">
        <f>R93*R88*E24/E17</f>
        <v>2733480.020734656</v>
      </c>
    </row>
    <row r="95" spans="1:18" s="67" customFormat="1" ht="15.75" hidden="1">
      <c r="A95" s="71"/>
      <c r="B95" s="71"/>
      <c r="C95" s="71"/>
      <c r="D95" s="71"/>
      <c r="E95" s="71"/>
      <c r="F95" s="71"/>
      <c r="G95" s="71"/>
      <c r="H95" s="71"/>
      <c r="I95" s="68"/>
      <c r="J95" s="68"/>
      <c r="K95" s="68"/>
      <c r="L95" s="68"/>
      <c r="Q95" s="283" t="s">
        <v>191</v>
      </c>
      <c r="R95" s="297">
        <f>E24*R91/R92/R98</f>
        <v>0.045708825195861294</v>
      </c>
    </row>
    <row r="96" spans="1:19" s="67" customFormat="1" ht="12.75" hidden="1">
      <c r="A96" s="71"/>
      <c r="B96" s="71"/>
      <c r="C96" s="71"/>
      <c r="D96" s="71"/>
      <c r="E96" s="71"/>
      <c r="F96" s="71"/>
      <c r="G96" s="71"/>
      <c r="H96" s="71"/>
      <c r="I96" s="71"/>
      <c r="J96" s="68"/>
      <c r="K96" s="68"/>
      <c r="L96" s="68"/>
      <c r="M96" s="68"/>
      <c r="N96" s="68"/>
      <c r="Q96" s="115" t="s">
        <v>192</v>
      </c>
      <c r="R96" s="298">
        <f>PI()*E36^3/32</f>
        <v>540.2155531034462</v>
      </c>
      <c r="S96" s="101"/>
    </row>
    <row r="97" spans="17:19" ht="15.75" hidden="1">
      <c r="Q97" s="115" t="s">
        <v>193</v>
      </c>
      <c r="R97" s="298">
        <f>PI()/32*(E26^4-E27^4)/E26</f>
        <v>1884.1178341129187</v>
      </c>
      <c r="S97" s="101"/>
    </row>
    <row r="98" spans="17:19" ht="15.75" hidden="1">
      <c r="Q98" s="115" t="s">
        <v>194</v>
      </c>
      <c r="R98" s="299">
        <f>R99*R88*E24/E17</f>
        <v>112494.14973974333</v>
      </c>
      <c r="S98" s="101"/>
    </row>
    <row r="99" spans="2:19" ht="15.75" hidden="1">
      <c r="B99" s="754"/>
      <c r="C99" s="754"/>
      <c r="D99" s="754"/>
      <c r="E99" s="754"/>
      <c r="F99" s="754"/>
      <c r="G99" s="754"/>
      <c r="H99" s="754"/>
      <c r="I99" s="754"/>
      <c r="J99" s="754"/>
      <c r="K99" s="754"/>
      <c r="L99" s="754"/>
      <c r="M99" s="754"/>
      <c r="Q99" s="115" t="s">
        <v>195</v>
      </c>
      <c r="R99" s="298">
        <f>PI()*(J23^4-E27^4)/64</f>
        <v>295297.1430668262</v>
      </c>
      <c r="S99" s="101"/>
    </row>
    <row r="100" spans="17:18" ht="14.25" customHeight="1" hidden="1">
      <c r="Q100" s="71" t="s">
        <v>196</v>
      </c>
      <c r="R100" s="71">
        <f>1</f>
        <v>1</v>
      </c>
    </row>
    <row r="101" spans="1:18" ht="19.5" hidden="1">
      <c r="A101" s="101"/>
      <c r="B101" s="101"/>
      <c r="C101" s="101"/>
      <c r="D101" s="101"/>
      <c r="Q101" s="141" t="s">
        <v>197</v>
      </c>
      <c r="R101" s="71">
        <v>1</v>
      </c>
    </row>
    <row r="102" spans="1:4" ht="12.75" hidden="1">
      <c r="A102" s="101"/>
      <c r="B102" s="101"/>
      <c r="C102" s="101"/>
      <c r="D102" s="101"/>
    </row>
    <row r="103" spans="1:4" ht="12.75" hidden="1">
      <c r="A103" s="101"/>
      <c r="B103" s="101"/>
      <c r="C103" s="101"/>
      <c r="D103" s="101"/>
    </row>
    <row r="104" ht="12.75" hidden="1"/>
    <row r="105" ht="12.75" hidden="1"/>
    <row r="106" spans="2:17" ht="12.75" hidden="1">
      <c r="B106" s="101"/>
      <c r="C106" s="101"/>
      <c r="D106" s="101"/>
      <c r="E106" s="101"/>
      <c r="F106" s="101"/>
      <c r="G106" s="101"/>
      <c r="H106" s="101"/>
      <c r="I106" s="101"/>
      <c r="J106" s="101"/>
      <c r="K106" s="101"/>
      <c r="L106" s="101"/>
      <c r="M106" s="101"/>
      <c r="N106" s="101"/>
      <c r="O106" s="101"/>
      <c r="P106" s="101"/>
      <c r="Q106" s="101"/>
    </row>
    <row r="107" spans="2:17" ht="12.75" hidden="1">
      <c r="B107" s="101"/>
      <c r="C107" s="101"/>
      <c r="D107" s="101"/>
      <c r="E107" s="101"/>
      <c r="F107" s="101"/>
      <c r="G107" s="101"/>
      <c r="H107" s="101"/>
      <c r="I107" s="101"/>
      <c r="J107" s="101"/>
      <c r="K107" s="101"/>
      <c r="L107" s="101"/>
      <c r="M107" s="101"/>
      <c r="N107" s="101"/>
      <c r="O107" s="101"/>
      <c r="P107" s="101"/>
      <c r="Q107" s="101"/>
    </row>
    <row r="108" spans="2:17" ht="12.75" hidden="1">
      <c r="B108" s="101"/>
      <c r="C108" s="101"/>
      <c r="D108" s="101"/>
      <c r="E108" s="101"/>
      <c r="F108" s="101"/>
      <c r="G108" s="101"/>
      <c r="H108" s="101"/>
      <c r="I108" s="101"/>
      <c r="J108" s="101"/>
      <c r="K108" s="101"/>
      <c r="L108" s="101"/>
      <c r="M108" s="101"/>
      <c r="N108" s="101"/>
      <c r="O108" s="101"/>
      <c r="P108" s="101"/>
      <c r="Q108" s="101"/>
    </row>
    <row r="109" spans="2:17" ht="12.75" hidden="1">
      <c r="B109" s="101"/>
      <c r="C109" s="101"/>
      <c r="D109" s="101"/>
      <c r="E109" s="101"/>
      <c r="F109" s="101"/>
      <c r="G109" s="101"/>
      <c r="H109" s="101"/>
      <c r="I109" s="101"/>
      <c r="J109" s="101"/>
      <c r="K109" s="101"/>
      <c r="L109" s="101"/>
      <c r="M109" s="101"/>
      <c r="N109" s="101"/>
      <c r="O109" s="101"/>
      <c r="P109" s="101"/>
      <c r="Q109" s="101"/>
    </row>
    <row r="110" spans="2:17" ht="12.75" hidden="1">
      <c r="B110" s="101"/>
      <c r="C110" s="101"/>
      <c r="D110" s="101"/>
      <c r="E110" s="101"/>
      <c r="F110" s="101"/>
      <c r="G110" s="101"/>
      <c r="H110" s="101"/>
      <c r="I110" s="101"/>
      <c r="J110" s="101"/>
      <c r="K110" s="101"/>
      <c r="L110" s="101"/>
      <c r="M110" s="101"/>
      <c r="N110" s="101"/>
      <c r="O110" s="101"/>
      <c r="P110" s="101"/>
      <c r="Q110" s="101"/>
    </row>
    <row r="111" spans="2:17" ht="12.75" hidden="1">
      <c r="B111" s="101"/>
      <c r="C111" s="101"/>
      <c r="D111" s="101"/>
      <c r="E111" s="101"/>
      <c r="F111" s="101"/>
      <c r="G111" s="101"/>
      <c r="H111" s="101"/>
      <c r="I111" s="101"/>
      <c r="J111" s="101"/>
      <c r="K111" s="101"/>
      <c r="L111" s="101"/>
      <c r="M111" s="101"/>
      <c r="N111" s="101"/>
      <c r="O111" s="101"/>
      <c r="P111" s="101"/>
      <c r="Q111" s="101"/>
    </row>
    <row r="112" spans="2:17" ht="12.75" hidden="1">
      <c r="B112" s="101"/>
      <c r="C112" s="101"/>
      <c r="D112" s="101"/>
      <c r="E112" s="101"/>
      <c r="F112" s="101"/>
      <c r="G112" s="101"/>
      <c r="H112" s="101"/>
      <c r="I112" s="101"/>
      <c r="J112" s="101"/>
      <c r="K112" s="101"/>
      <c r="L112" s="101"/>
      <c r="M112" s="101"/>
      <c r="N112" s="101"/>
      <c r="O112" s="101"/>
      <c r="P112" s="101"/>
      <c r="Q112" s="101"/>
    </row>
    <row r="113" spans="2:17" ht="12.75" hidden="1">
      <c r="B113" s="101"/>
      <c r="C113" s="101"/>
      <c r="D113" s="101"/>
      <c r="E113" s="101"/>
      <c r="F113" s="101"/>
      <c r="G113" s="101"/>
      <c r="H113" s="101"/>
      <c r="I113" s="101"/>
      <c r="J113" s="101"/>
      <c r="K113" s="101"/>
      <c r="L113" s="101"/>
      <c r="M113" s="101"/>
      <c r="N113" s="101"/>
      <c r="O113" s="101"/>
      <c r="P113" s="101"/>
      <c r="Q113" s="101"/>
    </row>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c r="K158" s="491"/>
    </row>
  </sheetData>
  <sheetProtection password="EF77" sheet="1" objects="1" scenarios="1"/>
  <mergeCells count="12">
    <mergeCell ref="I6:J6"/>
    <mergeCell ref="K7:K10"/>
    <mergeCell ref="A13:A17"/>
    <mergeCell ref="F19:F28"/>
    <mergeCell ref="A20:A27"/>
    <mergeCell ref="C41:S41"/>
    <mergeCell ref="R58:S58"/>
    <mergeCell ref="B99:M99"/>
    <mergeCell ref="Q25:Q28"/>
    <mergeCell ref="F29:F38"/>
    <mergeCell ref="Q36:Q38"/>
    <mergeCell ref="M39:S40"/>
  </mergeCells>
  <dataValidations count="1">
    <dataValidation type="list" allowBlank="1" showErrorMessage="1" sqref="J21">
      <formula1>$H$47:$H$48</formula1>
      <formula2>0</formula2>
    </dataValidation>
  </dataValidations>
  <printOptions horizontalCentered="1" verticalCentered="1"/>
  <pageMargins left="0.27569444444444446" right="0.27569444444444446" top="0.7875" bottom="0.5902777777777777" header="0.5118055555555555" footer="0.5118055555555555"/>
  <pageSetup horizontalDpi="300" verticalDpi="300" orientation="landscape" paperSize="9" scale="80" r:id="rId3"/>
  <headerFooter alignWithMargins="0">
    <oddFooter>&amp;L&amp;F / &amp;A</oddFooter>
  </headerFooter>
  <legacyDrawing r:id="rId2"/>
  <oleObjects>
    <oleObject progId="" shapeId="120514700" r:id="rId1"/>
  </oleObjects>
</worksheet>
</file>

<file path=xl/worksheets/sheet5.xml><?xml version="1.0" encoding="utf-8"?>
<worksheet xmlns="http://schemas.openxmlformats.org/spreadsheetml/2006/main" xmlns:r="http://schemas.openxmlformats.org/officeDocument/2006/relationships">
  <dimension ref="A1:AI98"/>
  <sheetViews>
    <sheetView showGridLines="0" showRowColHeaders="0" zoomScale="80" zoomScaleNormal="80" workbookViewId="0" topLeftCell="A1">
      <selection activeCell="S77" sqref="S77"/>
    </sheetView>
  </sheetViews>
  <sheetFormatPr defaultColWidth="11.421875" defaultRowHeight="12.75"/>
  <cols>
    <col min="1" max="1" width="4.00390625" style="71" customWidth="1"/>
    <col min="2" max="5" width="10.7109375" style="71" customWidth="1"/>
    <col min="6" max="6" width="4.421875" style="71" customWidth="1"/>
    <col min="7" max="7" width="16.7109375" style="71" customWidth="1"/>
    <col min="8" max="10" width="6.7109375" style="71" customWidth="1"/>
    <col min="11" max="11" width="10.7109375" style="68" customWidth="1"/>
    <col min="12" max="13" width="4.421875" style="68" customWidth="1"/>
    <col min="14" max="15" width="10.7109375" style="68" customWidth="1"/>
    <col min="16" max="16" width="7.7109375" style="68" customWidth="1"/>
    <col min="17" max="17" width="11.7109375" style="68" customWidth="1"/>
    <col min="18" max="18" width="4.57421875" style="68" customWidth="1"/>
    <col min="19" max="19" width="15.00390625" style="68" customWidth="1"/>
    <col min="20" max="20" width="7.7109375" style="68" customWidth="1"/>
    <col min="21" max="21" width="2.7109375" style="115" customWidth="1"/>
    <col min="22" max="38" width="0" style="71" hidden="1" customWidth="1"/>
    <col min="39" max="39" width="1.8515625" style="71" customWidth="1"/>
    <col min="40" max="40" width="2.28125" style="71" customWidth="1"/>
    <col min="41" max="44" width="11.421875" style="71" customWidth="1"/>
    <col min="45" max="45" width="3.140625" style="71" customWidth="1"/>
    <col min="46" max="16384" width="11.421875" style="71" customWidth="1"/>
  </cols>
  <sheetData>
    <row r="1" spans="1:31" ht="14.25" customHeight="1">
      <c r="A1" s="67"/>
      <c r="B1" s="4" t="str">
        <f>0!B238</f>
        <v>3. Yük ve ısı etkisindeki ön germeli şaft cıvataları</v>
      </c>
      <c r="D1" s="68"/>
      <c r="E1" s="68"/>
      <c r="K1" s="68" t="str">
        <f>Info!N11</f>
        <v>Copyright : M. G. Kutay , Ver 2013.01</v>
      </c>
      <c r="Q1" s="301" t="str">
        <f>Info!B11</f>
        <v>www.guven-kutay.ch</v>
      </c>
      <c r="R1" s="101"/>
      <c r="S1" s="754"/>
      <c r="T1" s="754"/>
      <c r="U1" s="754"/>
      <c r="V1" s="754"/>
      <c r="W1" s="68"/>
      <c r="AA1" s="68"/>
      <c r="AB1" s="68"/>
      <c r="AE1" s="67"/>
    </row>
    <row r="2" spans="1:31" ht="14.25" customHeight="1">
      <c r="A2" s="67"/>
      <c r="B2" s="115" t="str">
        <f>0!B156</f>
        <v>Proje :</v>
      </c>
      <c r="C2" s="752">
        <v>1</v>
      </c>
      <c r="D2" s="752"/>
      <c r="E2" s="752"/>
      <c r="F2" s="752"/>
      <c r="G2" s="752"/>
      <c r="H2" s="752"/>
      <c r="I2" s="752"/>
      <c r="J2" s="752"/>
      <c r="K2" s="101"/>
      <c r="L2" s="101"/>
      <c r="O2" s="101"/>
      <c r="P2" s="101"/>
      <c r="Q2" s="101"/>
      <c r="R2" s="101"/>
      <c r="S2" s="101"/>
      <c r="T2" s="101"/>
      <c r="U2" s="101"/>
      <c r="V2" s="117"/>
      <c r="W2" s="117"/>
      <c r="AA2" s="68"/>
      <c r="AB2" s="68"/>
      <c r="AE2" s="67"/>
    </row>
    <row r="3" spans="1:31" ht="14.25" customHeight="1">
      <c r="A3" s="67"/>
      <c r="C3" s="70" t="str">
        <f>IF(C2&gt;0.1,0!B259,"")</f>
        <v>Bütün bilinenleri gösteren kroki var mı?</v>
      </c>
      <c r="D3" s="101"/>
      <c r="E3" s="101"/>
      <c r="F3" s="101"/>
      <c r="G3" s="101"/>
      <c r="H3" s="101"/>
      <c r="I3" s="101"/>
      <c r="J3" s="101"/>
      <c r="K3" s="101"/>
      <c r="L3" s="101"/>
      <c r="O3" s="101"/>
      <c r="P3" s="101"/>
      <c r="Q3" s="101"/>
      <c r="R3" s="101"/>
      <c r="S3" s="101"/>
      <c r="T3" s="101"/>
      <c r="U3" s="101"/>
      <c r="V3" s="117"/>
      <c r="W3" s="117"/>
      <c r="AA3" s="68"/>
      <c r="AB3" s="68"/>
      <c r="AE3" s="67"/>
    </row>
    <row r="4" spans="1:31" ht="14.25" customHeight="1">
      <c r="A4" s="118">
        <v>1</v>
      </c>
      <c r="B4" s="62" t="str">
        <f>0!B60</f>
        <v>İşletme değerleri :</v>
      </c>
      <c r="C4" s="62"/>
      <c r="D4" s="759" t="s">
        <v>198</v>
      </c>
      <c r="E4" s="759"/>
      <c r="F4" s="118">
        <f>A39+1</f>
        <v>7</v>
      </c>
      <c r="G4" s="62" t="str">
        <f>0!B159</f>
        <v>Hesap için gereken diğer değerler :</v>
      </c>
      <c r="H4" s="62"/>
      <c r="I4" s="62"/>
      <c r="J4" s="115"/>
      <c r="L4" s="101"/>
      <c r="V4" s="115"/>
      <c r="W4" s="115"/>
      <c r="AA4" s="68"/>
      <c r="AB4" s="68"/>
      <c r="AE4" s="68"/>
    </row>
    <row r="5" spans="1:31" ht="14.25" customHeight="1">
      <c r="A5" s="67"/>
      <c r="B5" s="120" t="str">
        <f>0!B61</f>
        <v>İşletme kuvveti</v>
      </c>
      <c r="C5" s="121"/>
      <c r="D5" s="122" t="s">
        <v>87</v>
      </c>
      <c r="E5" s="123">
        <v>4.5</v>
      </c>
      <c r="F5" s="778">
        <f>IF($E$32/$E$28&lt;10,"","LSı / d&gt;10  ?")</f>
      </c>
      <c r="G5" s="158" t="str">
        <f>0!B167</f>
        <v>Vidasız şaft boyu</v>
      </c>
      <c r="H5" s="189"/>
      <c r="I5" s="189"/>
      <c r="J5" s="302" t="s">
        <v>148</v>
      </c>
      <c r="K5" s="303">
        <f>E30-E31</f>
        <v>86</v>
      </c>
      <c r="L5" s="101"/>
      <c r="AA5" s="68"/>
      <c r="AB5" s="68"/>
      <c r="AE5" s="68"/>
    </row>
    <row r="6" spans="1:31" ht="14.25" customHeight="1">
      <c r="A6" s="67"/>
      <c r="B6" s="129"/>
      <c r="C6" s="130"/>
      <c r="D6" s="131" t="s">
        <v>88</v>
      </c>
      <c r="E6" s="132">
        <v>0.3</v>
      </c>
      <c r="F6" s="778"/>
      <c r="G6" s="162" t="str">
        <f>0!B168</f>
        <v>Vidalı şaft boyu</v>
      </c>
      <c r="H6" s="164"/>
      <c r="I6" s="164"/>
      <c r="J6" s="202" t="s">
        <v>199</v>
      </c>
      <c r="K6" s="204">
        <f>E32-K5</f>
        <v>14</v>
      </c>
      <c r="L6" s="101"/>
      <c r="T6" s="101"/>
      <c r="U6" s="101"/>
      <c r="V6" s="101"/>
      <c r="W6" s="101"/>
      <c r="AE6" s="68"/>
    </row>
    <row r="7" spans="1:31" ht="14.25" customHeight="1">
      <c r="A7" s="774"/>
      <c r="B7" s="183" t="str">
        <f>0!B158</f>
        <v>Enine kuvvet</v>
      </c>
      <c r="C7" s="137"/>
      <c r="D7" s="131" t="s">
        <v>90</v>
      </c>
      <c r="E7" s="132">
        <v>0.12</v>
      </c>
      <c r="F7" s="778"/>
      <c r="G7" s="162" t="str">
        <f>0!B117</f>
        <v>Diş dibi çapı</v>
      </c>
      <c r="H7" s="164"/>
      <c r="I7" s="164"/>
      <c r="J7" s="213" t="s">
        <v>136</v>
      </c>
      <c r="K7" s="304">
        <f>E28-1.22687*E29</f>
        <v>13.54626</v>
      </c>
      <c r="L7" s="101"/>
      <c r="T7" s="101"/>
      <c r="U7" s="101"/>
      <c r="V7" s="101"/>
      <c r="W7" s="101"/>
      <c r="AE7" s="68"/>
    </row>
    <row r="8" spans="1:33" ht="14.25" customHeight="1">
      <c r="A8" s="774"/>
      <c r="B8" s="183" t="str">
        <f>0!B161</f>
        <v>Sürtünme katsayısı</v>
      </c>
      <c r="C8" s="137"/>
      <c r="D8" s="142" t="s">
        <v>92</v>
      </c>
      <c r="E8" s="143">
        <v>0.12</v>
      </c>
      <c r="F8" s="778"/>
      <c r="G8" s="162" t="str">
        <f>0!B118</f>
        <v>Dişdibi alanı</v>
      </c>
      <c r="H8" s="164"/>
      <c r="I8" s="164"/>
      <c r="J8" s="213" t="s">
        <v>139</v>
      </c>
      <c r="K8" s="222">
        <f>E28^2*PI()/4</f>
        <v>201.06192982974676</v>
      </c>
      <c r="L8" s="101"/>
      <c r="T8" s="101"/>
      <c r="U8" s="101"/>
      <c r="V8" s="101"/>
      <c r="W8" s="101"/>
      <c r="AE8" s="101"/>
      <c r="AF8" s="101"/>
      <c r="AG8" s="101"/>
    </row>
    <row r="9" spans="1:33" ht="14.25" customHeight="1">
      <c r="A9" s="774"/>
      <c r="B9" s="183" t="str">
        <f>0!B47</f>
        <v>Şartnameden</v>
      </c>
      <c r="C9" s="163"/>
      <c r="D9" s="131" t="s">
        <v>94</v>
      </c>
      <c r="E9" s="132">
        <v>0.1</v>
      </c>
      <c r="F9" s="778"/>
      <c r="G9" s="162" t="str">
        <f>0!B94</f>
        <v>Bölüm dairesi çapı</v>
      </c>
      <c r="H9" s="164"/>
      <c r="I9" s="164"/>
      <c r="J9" s="213" t="s">
        <v>129</v>
      </c>
      <c r="K9" s="305">
        <f>E28-0.64952*E29</f>
        <v>14.70096</v>
      </c>
      <c r="L9" s="101"/>
      <c r="T9" s="101"/>
      <c r="U9" s="101"/>
      <c r="V9" s="101"/>
      <c r="W9" s="101"/>
      <c r="AE9" s="101"/>
      <c r="AF9" s="101"/>
      <c r="AG9" s="101"/>
    </row>
    <row r="10" spans="1:33" ht="14.25" customHeight="1">
      <c r="A10" s="774"/>
      <c r="B10" s="200" t="str">
        <f>0!B188</f>
        <v>Enine kayma</v>
      </c>
      <c r="C10" s="163"/>
      <c r="D10" s="131" t="s">
        <v>200</v>
      </c>
      <c r="E10" s="306">
        <v>0.103</v>
      </c>
      <c r="F10" s="778"/>
      <c r="G10" s="162" t="str">
        <f>0!B201</f>
        <v>Helis açısı</v>
      </c>
      <c r="H10" s="164"/>
      <c r="I10" s="164"/>
      <c r="J10" s="237" t="s">
        <v>130</v>
      </c>
      <c r="K10" s="307">
        <f>180*(ATAN(E29/PI()/K9))/PI()</f>
        <v>2.4796238420945653</v>
      </c>
      <c r="L10" s="101"/>
      <c r="T10" s="101"/>
      <c r="U10" s="101"/>
      <c r="V10" s="101"/>
      <c r="W10" s="101"/>
      <c r="AE10" s="101"/>
      <c r="AF10" s="101"/>
      <c r="AG10" s="101"/>
    </row>
    <row r="11" spans="1:33" ht="14.25" customHeight="1">
      <c r="A11" s="774"/>
      <c r="B11" s="147" t="str">
        <f>IF(E10&lt;0.01,"",0!B65)</f>
        <v>Eğilme mukavemeti</v>
      </c>
      <c r="C11" s="308"/>
      <c r="D11" s="309" t="s">
        <v>201</v>
      </c>
      <c r="E11" s="310">
        <v>780</v>
      </c>
      <c r="F11" s="778"/>
      <c r="G11" s="162" t="str">
        <f>0!B165</f>
        <v>Şaft çapı</v>
      </c>
      <c r="H11" s="164"/>
      <c r="I11" s="164"/>
      <c r="J11" s="252" t="s">
        <v>143</v>
      </c>
      <c r="K11" s="311">
        <f>E28</f>
        <v>16</v>
      </c>
      <c r="L11" s="101"/>
      <c r="T11" s="101"/>
      <c r="U11" s="101"/>
      <c r="V11" s="101"/>
      <c r="W11" s="101"/>
      <c r="AE11" s="101"/>
      <c r="AF11" s="101"/>
      <c r="AG11" s="101"/>
    </row>
    <row r="12" spans="1:33" ht="14.25" customHeight="1">
      <c r="A12" s="118">
        <f>A4+1</f>
        <v>2</v>
      </c>
      <c r="B12" s="152" t="str">
        <f>0!B73</f>
        <v>Cıvatanın değerleri :</v>
      </c>
      <c r="D12" s="759" t="s">
        <v>96</v>
      </c>
      <c r="E12" s="759"/>
      <c r="F12" s="778"/>
      <c r="G12" s="162" t="str">
        <f>0!B166</f>
        <v>Şaft alanı</v>
      </c>
      <c r="H12" s="164"/>
      <c r="I12" s="164"/>
      <c r="J12" s="213" t="s">
        <v>146</v>
      </c>
      <c r="K12" s="222">
        <f>PI()*K7^2/4</f>
        <v>144.12147403556236</v>
      </c>
      <c r="L12" s="101"/>
      <c r="T12" s="101"/>
      <c r="U12" s="101"/>
      <c r="V12" s="101"/>
      <c r="W12" s="101"/>
      <c r="AE12" s="101"/>
      <c r="AF12" s="101"/>
      <c r="AG12" s="101"/>
    </row>
    <row r="13" spans="1:33" ht="14.25" customHeight="1">
      <c r="A13" s="67"/>
      <c r="B13" s="158" t="str">
        <f>0!B222</f>
        <v>Malzeme</v>
      </c>
      <c r="C13" s="312" t="s">
        <v>202</v>
      </c>
      <c r="D13" s="313" t="str">
        <f>J22</f>
        <v>Montaj</v>
      </c>
      <c r="E13" s="314" t="str">
        <f>J23</f>
        <v>İşletme</v>
      </c>
      <c r="F13" s="778"/>
      <c r="G13" s="162" t="str">
        <f>0!B195</f>
        <v>Gerilim çapı</v>
      </c>
      <c r="H13" s="164"/>
      <c r="I13" s="164"/>
      <c r="J13" s="213" t="s">
        <v>152</v>
      </c>
      <c r="K13" s="315">
        <f>(K9+K7)/2</f>
        <v>14.12361</v>
      </c>
      <c r="L13" s="101"/>
      <c r="T13" s="101"/>
      <c r="U13" s="101"/>
      <c r="V13" s="101"/>
      <c r="W13" s="101"/>
      <c r="AC13" s="68"/>
      <c r="AD13" s="68"/>
      <c r="AE13" s="101"/>
      <c r="AF13" s="101"/>
      <c r="AG13" s="101"/>
    </row>
    <row r="14" spans="1:34" ht="14.25" customHeight="1">
      <c r="A14" s="67"/>
      <c r="B14" s="162" t="str">
        <f>0!B204</f>
        <v>Isı  °C</v>
      </c>
      <c r="C14" s="164" t="s">
        <v>203</v>
      </c>
      <c r="D14" s="316">
        <v>20</v>
      </c>
      <c r="E14" s="165">
        <v>350</v>
      </c>
      <c r="F14" s="778"/>
      <c r="G14" s="162" t="str">
        <f>0!B196</f>
        <v>Gerilim alanı</v>
      </c>
      <c r="H14" s="164"/>
      <c r="I14" s="164"/>
      <c r="J14" s="213" t="s">
        <v>155</v>
      </c>
      <c r="K14" s="222">
        <f>PI()*((K9+K7)/2)^2/4</f>
        <v>156.66836633918058</v>
      </c>
      <c r="L14" s="773" t="s">
        <v>103</v>
      </c>
      <c r="T14" s="101"/>
      <c r="U14" s="101"/>
      <c r="V14" s="101"/>
      <c r="W14" s="101"/>
      <c r="X14" s="101"/>
      <c r="Y14" s="101"/>
      <c r="Z14" s="101"/>
      <c r="AA14" s="101"/>
      <c r="AB14" s="68"/>
      <c r="AC14" s="68"/>
      <c r="AD14" s="68"/>
      <c r="AE14" s="101"/>
      <c r="AF14" s="101"/>
      <c r="AG14" s="101"/>
      <c r="AH14" s="67"/>
    </row>
    <row r="15" spans="1:33" ht="14.25" customHeight="1">
      <c r="A15" s="67"/>
      <c r="B15" s="162" t="s">
        <v>204</v>
      </c>
      <c r="C15" s="164" t="s">
        <v>100</v>
      </c>
      <c r="D15" s="317">
        <v>1000</v>
      </c>
      <c r="E15" s="171">
        <v>895</v>
      </c>
      <c r="F15" s="778"/>
      <c r="G15" s="200" t="str">
        <f>0!B68</f>
        <v>Eğilme Karşıkoyma-Mom.</v>
      </c>
      <c r="H15" s="163"/>
      <c r="I15" s="163"/>
      <c r="J15" s="213" t="s">
        <v>205</v>
      </c>
      <c r="K15" s="318">
        <f>PI()*K7^3/32</f>
        <v>244.0383698586221</v>
      </c>
      <c r="L15" s="773"/>
      <c r="T15" s="101"/>
      <c r="U15" s="101"/>
      <c r="V15" s="101"/>
      <c r="W15" s="101"/>
      <c r="X15" s="101"/>
      <c r="Y15" s="101"/>
      <c r="Z15" s="101"/>
      <c r="AC15" s="68"/>
      <c r="AD15" s="68"/>
      <c r="AE15" s="101"/>
      <c r="AF15" s="101"/>
      <c r="AG15" s="101"/>
    </row>
    <row r="16" spans="1:33" ht="14.25" customHeight="1">
      <c r="A16" s="67"/>
      <c r="B16" s="162" t="s">
        <v>206</v>
      </c>
      <c r="C16" s="164" t="s">
        <v>100</v>
      </c>
      <c r="D16" s="317">
        <v>640</v>
      </c>
      <c r="E16" s="171">
        <v>545</v>
      </c>
      <c r="F16" s="778"/>
      <c r="G16" s="200" t="str">
        <f>0!B223</f>
        <v>Tor. Karşıkoyma Momenti</v>
      </c>
      <c r="H16" s="163"/>
      <c r="I16" s="163"/>
      <c r="J16" s="195" t="s">
        <v>159</v>
      </c>
      <c r="K16" s="318">
        <f>PI()*K7^3/16</f>
        <v>488.0767397172442</v>
      </c>
      <c r="L16" s="773"/>
      <c r="M16" s="118">
        <f>F4+1</f>
        <v>8</v>
      </c>
      <c r="N16" s="199" t="str">
        <f>0!B130</f>
        <v>Kontroller</v>
      </c>
      <c r="R16" s="118">
        <f>M16+1</f>
        <v>9</v>
      </c>
      <c r="S16" s="63" t="str">
        <f>0!B86</f>
        <v>Sonuçlar</v>
      </c>
      <c r="U16" s="101"/>
      <c r="V16" s="101"/>
      <c r="W16" s="101"/>
      <c r="X16" s="101"/>
      <c r="Y16" s="101"/>
      <c r="Z16" s="101"/>
      <c r="AC16" s="68"/>
      <c r="AD16" s="68"/>
      <c r="AE16" s="101"/>
      <c r="AF16" s="101"/>
      <c r="AG16" s="101"/>
    </row>
    <row r="17" spans="1:33" ht="14.25" customHeight="1">
      <c r="A17" s="67"/>
      <c r="B17" s="162" t="str">
        <f>IF(Info!H13&gt;2.5,"Edyn",IF(Info!H13&gt;1.5,"Edyn","Edin"))</f>
        <v>Edin</v>
      </c>
      <c r="C17" s="164" t="s">
        <v>100</v>
      </c>
      <c r="D17" s="319">
        <v>183000</v>
      </c>
      <c r="E17" s="320">
        <v>165000</v>
      </c>
      <c r="G17" s="200" t="str">
        <f>0!B43</f>
        <v>Sıkıştırma faktörü</v>
      </c>
      <c r="H17" s="163"/>
      <c r="I17" s="321"/>
      <c r="J17" s="322" t="s">
        <v>102</v>
      </c>
      <c r="K17" s="230">
        <v>1.6</v>
      </c>
      <c r="L17" s="773"/>
      <c r="M17" s="205">
        <f>K4+1</f>
        <v>1</v>
      </c>
      <c r="N17" s="63" t="str">
        <f>0!B193</f>
        <v>Montajda bileşik gerilim</v>
      </c>
      <c r="O17" s="101"/>
      <c r="P17" s="101"/>
      <c r="Q17" s="101"/>
      <c r="R17" s="323">
        <f>P4+1</f>
        <v>1</v>
      </c>
      <c r="S17" s="63" t="str">
        <f>0!B88</f>
        <v>Montajdaki değerler :</v>
      </c>
      <c r="U17" s="101"/>
      <c r="V17" s="101"/>
      <c r="W17" s="101"/>
      <c r="X17" s="101"/>
      <c r="Y17" s="101"/>
      <c r="Z17" s="101"/>
      <c r="AA17" s="101"/>
      <c r="AB17" s="68"/>
      <c r="AC17" s="68"/>
      <c r="AD17" s="68"/>
      <c r="AE17" s="101"/>
      <c r="AF17" s="101"/>
      <c r="AG17" s="101"/>
    </row>
    <row r="18" spans="1:33" ht="14.25" customHeight="1">
      <c r="A18" s="67"/>
      <c r="B18" s="324" t="s">
        <v>207</v>
      </c>
      <c r="C18" s="177" t="s">
        <v>208</v>
      </c>
      <c r="D18" s="325"/>
      <c r="E18" s="326">
        <v>1.39E-05</v>
      </c>
      <c r="G18" s="200" t="str">
        <f>0!B45</f>
        <v>max. Sıkma momenti</v>
      </c>
      <c r="H18" s="214"/>
      <c r="J18" s="327" t="s">
        <v>209</v>
      </c>
      <c r="K18" s="186">
        <v>185</v>
      </c>
      <c r="L18" s="775" t="s">
        <v>210</v>
      </c>
      <c r="M18" s="71"/>
      <c r="N18" s="328" t="str">
        <f>2!M23</f>
        <v>Vidanın momenti</v>
      </c>
      <c r="O18" s="329"/>
      <c r="P18" s="209" t="s">
        <v>115</v>
      </c>
      <c r="Q18" s="210">
        <f>K36*K9/2*TAN((K10+E40)*PI()/180)</f>
        <v>88.08456292001925</v>
      </c>
      <c r="S18" s="211" t="s">
        <v>116</v>
      </c>
      <c r="T18" s="212">
        <f>D16/Q21</f>
        <v>1.1406353273801255</v>
      </c>
      <c r="U18" s="101"/>
      <c r="V18" s="101"/>
      <c r="W18" s="101"/>
      <c r="X18" s="101"/>
      <c r="Y18" s="101"/>
      <c r="Z18" s="101"/>
      <c r="AA18" s="101"/>
      <c r="AE18" s="101"/>
      <c r="AF18" s="101"/>
      <c r="AG18" s="101"/>
    </row>
    <row r="19" spans="1:33" ht="14.25" customHeight="1">
      <c r="A19" s="118">
        <f>A12+1</f>
        <v>3</v>
      </c>
      <c r="B19" s="63" t="str">
        <f>0!B72</f>
        <v>Bağlanan parçaların değerleri :</v>
      </c>
      <c r="D19" s="759" t="s">
        <v>211</v>
      </c>
      <c r="E19" s="759"/>
      <c r="G19" s="200" t="str">
        <f>0!B46</f>
        <v>min. Sıkma momenti</v>
      </c>
      <c r="H19" s="163"/>
      <c r="I19" s="163"/>
      <c r="J19" s="330" t="s">
        <v>212</v>
      </c>
      <c r="K19" s="188">
        <f>K18/K17</f>
        <v>115.625</v>
      </c>
      <c r="L19" s="775"/>
      <c r="M19" s="71"/>
      <c r="N19" s="331" t="str">
        <f>2!M24</f>
        <v>Torsiyon gerilimi</v>
      </c>
      <c r="O19" s="332"/>
      <c r="P19" s="218" t="s">
        <v>119</v>
      </c>
      <c r="Q19" s="219">
        <f>Q18/K16*10^3</f>
        <v>180.47277354591608</v>
      </c>
      <c r="S19" s="62" t="str">
        <f>IF(T18&gt;=1,0!B253,0!B254)</f>
        <v>  Yeterli</v>
      </c>
      <c r="V19" s="101"/>
      <c r="W19" s="101"/>
      <c r="X19" s="101"/>
      <c r="Y19" s="101"/>
      <c r="Z19" s="101"/>
      <c r="AA19" s="101"/>
      <c r="AE19" s="101"/>
      <c r="AF19" s="101"/>
      <c r="AG19" s="101"/>
    </row>
    <row r="20" spans="1:33" ht="14.25" customHeight="1">
      <c r="A20" s="776" t="str">
        <f>0!B145</f>
        <v>Montaj</v>
      </c>
      <c r="B20" s="124" t="str">
        <f>0!B57</f>
        <v>Tanımı :</v>
      </c>
      <c r="C20" s="333" t="str">
        <f>0!B34</f>
        <v>1.Parça  *)1 </v>
      </c>
      <c r="D20" s="334" t="str">
        <f>0!B36</f>
        <v>2. Parça</v>
      </c>
      <c r="E20" s="335" t="str">
        <f>0!B37</f>
        <v>3. Parça</v>
      </c>
      <c r="F20" s="777">
        <f>IF(E32=SUM(C22:E22),"",0!B256)</f>
      </c>
      <c r="G20" s="200" t="str">
        <f>0!B44</f>
        <v>Sıkma momenti</v>
      </c>
      <c r="H20" s="163"/>
      <c r="I20" s="163"/>
      <c r="J20" s="330" t="s">
        <v>213</v>
      </c>
      <c r="K20" s="188">
        <f>(K18+K19)/2</f>
        <v>150.3125</v>
      </c>
      <c r="L20" s="775"/>
      <c r="M20" s="71"/>
      <c r="N20" s="336" t="str">
        <f>2!M25</f>
        <v>Çekme gerilimi</v>
      </c>
      <c r="O20" s="337"/>
      <c r="P20" s="224" t="s">
        <v>122</v>
      </c>
      <c r="Q20" s="219">
        <f>K36/K14*10^3</f>
        <v>465.952391703364</v>
      </c>
      <c r="R20" s="768" t="str">
        <f>2!Q25</f>
        <v>Tablo 7, 8</v>
      </c>
      <c r="AA20" s="128"/>
      <c r="AE20" s="101"/>
      <c r="AF20" s="101"/>
      <c r="AG20" s="101"/>
    </row>
    <row r="21" spans="1:27" ht="14.25" customHeight="1">
      <c r="A21" s="776"/>
      <c r="B21" s="133" t="str">
        <f>0!B222</f>
        <v>Malzeme</v>
      </c>
      <c r="C21" s="134" t="s">
        <v>214</v>
      </c>
      <c r="D21" s="134" t="str">
        <f>C21</f>
        <v>GGG40</v>
      </c>
      <c r="E21" s="135"/>
      <c r="F21" s="777"/>
      <c r="G21" s="200"/>
      <c r="H21" s="163"/>
      <c r="I21" s="163"/>
      <c r="J21" s="338" t="s">
        <v>215</v>
      </c>
      <c r="K21" s="188">
        <f>K18-K20</f>
        <v>34.6875</v>
      </c>
      <c r="L21" s="775"/>
      <c r="M21" s="339"/>
      <c r="N21" s="340" t="str">
        <f>2!M26</f>
        <v>Bileşik gerilim</v>
      </c>
      <c r="O21" s="341"/>
      <c r="P21" s="226" t="s">
        <v>125</v>
      </c>
      <c r="Q21" s="227">
        <f>(Q20^2+3*Q19^2)^(0.5)</f>
        <v>561.0908102153801</v>
      </c>
      <c r="R21" s="768"/>
      <c r="W21" s="101"/>
      <c r="X21" s="101"/>
      <c r="AA21" s="128"/>
    </row>
    <row r="22" spans="1:27" ht="14.25" customHeight="1">
      <c r="A22" s="776"/>
      <c r="B22" s="342" t="s">
        <v>91</v>
      </c>
      <c r="C22" s="139">
        <v>30</v>
      </c>
      <c r="D22" s="343">
        <v>70</v>
      </c>
      <c r="E22" s="140"/>
      <c r="F22" s="777"/>
      <c r="G22" s="344" t="s">
        <v>216</v>
      </c>
      <c r="H22" s="345"/>
      <c r="I22" s="345"/>
      <c r="J22" s="346" t="str">
        <f>0!B145</f>
        <v>Montaj</v>
      </c>
      <c r="K22" s="194">
        <f>Z57</f>
        <v>0.0035452017049295804</v>
      </c>
      <c r="L22" s="775"/>
      <c r="M22" s="205">
        <f>M17+1</f>
        <v>2</v>
      </c>
      <c r="N22" s="70" t="str">
        <f>0!B101</f>
        <v>Montajda temas yüzeyi bası gerilimi</v>
      </c>
      <c r="O22" s="101"/>
      <c r="P22" s="101"/>
      <c r="Q22" s="101"/>
      <c r="R22" s="768"/>
      <c r="W22" s="101"/>
      <c r="X22" s="101"/>
      <c r="AA22" s="128"/>
    </row>
    <row r="23" spans="1:33" ht="14.25" customHeight="1">
      <c r="A23" s="776"/>
      <c r="B23" s="347" t="s">
        <v>93</v>
      </c>
      <c r="C23" s="348">
        <v>168000</v>
      </c>
      <c r="D23" s="348">
        <v>168000</v>
      </c>
      <c r="E23" s="349"/>
      <c r="F23" s="777"/>
      <c r="G23" s="344" t="s">
        <v>217</v>
      </c>
      <c r="H23" s="345"/>
      <c r="I23" s="345"/>
      <c r="J23" s="350" t="str">
        <f>0!B59</f>
        <v>İşletme</v>
      </c>
      <c r="K23" s="351">
        <f>Z74</f>
        <v>0.003937229079433527</v>
      </c>
      <c r="L23" s="101"/>
      <c r="M23" s="339"/>
      <c r="N23" s="352" t="str">
        <f>2!M28</f>
        <v>Bası alanı</v>
      </c>
      <c r="O23" s="180"/>
      <c r="P23" s="353" t="s">
        <v>218</v>
      </c>
      <c r="Q23" s="236">
        <v>157.1</v>
      </c>
      <c r="R23" s="768"/>
      <c r="S23" s="211" t="s">
        <v>132</v>
      </c>
      <c r="T23" s="212">
        <f>E37/Q24</f>
        <v>1.5364126933648559</v>
      </c>
      <c r="W23" s="101"/>
      <c r="X23" s="101"/>
      <c r="Y23" s="67"/>
      <c r="Z23" s="67"/>
      <c r="AA23" s="128"/>
      <c r="AD23" s="323">
        <f>AB34+1</f>
        <v>3</v>
      </c>
      <c r="AE23" s="63" t="e">
        <f>#REF!</f>
        <v>#REF!</v>
      </c>
      <c r="AF23" s="101"/>
      <c r="AG23" s="101"/>
    </row>
    <row r="24" spans="1:33" ht="14.25" customHeight="1">
      <c r="A24" s="769" t="str">
        <f>0!B59</f>
        <v>İşletme</v>
      </c>
      <c r="B24" s="347" t="s">
        <v>219</v>
      </c>
      <c r="C24" s="354">
        <v>350</v>
      </c>
      <c r="D24" s="354">
        <v>380</v>
      </c>
      <c r="E24" s="355"/>
      <c r="F24" s="777"/>
      <c r="G24" s="223" t="str">
        <f>0!B208</f>
        <v>Paraboloid çapı</v>
      </c>
      <c r="H24" s="356"/>
      <c r="I24" s="356"/>
      <c r="J24" s="357" t="s">
        <v>220</v>
      </c>
      <c r="K24" s="204">
        <f>0.57735*2*C22+E34</f>
        <v>57.141000000000005</v>
      </c>
      <c r="L24" s="101"/>
      <c r="M24" s="339"/>
      <c r="N24" s="340" t="str">
        <f>2!M29</f>
        <v>Yüzey basıncı</v>
      </c>
      <c r="O24" s="341"/>
      <c r="P24" s="341" t="s">
        <v>221</v>
      </c>
      <c r="Q24" s="227">
        <f>K39/Q23*10^3</f>
        <v>455.6067539815419</v>
      </c>
      <c r="R24" s="101"/>
      <c r="S24" s="62" t="str">
        <f>IF(T23&gt;=1,0!B253,0!B254)</f>
        <v>  Yeterli</v>
      </c>
      <c r="V24" s="101"/>
      <c r="W24" s="101"/>
      <c r="X24" s="101"/>
      <c r="Y24" s="101"/>
      <c r="Z24" s="101"/>
      <c r="AA24" s="128"/>
      <c r="AE24" s="770" t="str">
        <f>IF(Info!$H$13&gt;2.5,"Case number of the combination",IF(Info!$H$13&gt;1.5,"Fallnummer der Verbindung","Bağlantının hal numarası"))</f>
        <v>Bağlantının hal numarası</v>
      </c>
      <c r="AF24" s="770"/>
      <c r="AG24" s="358">
        <v>21</v>
      </c>
    </row>
    <row r="25" spans="1:33" ht="14.25" customHeight="1">
      <c r="A25" s="769"/>
      <c r="B25" s="347" t="s">
        <v>222</v>
      </c>
      <c r="C25" s="348">
        <v>149000</v>
      </c>
      <c r="D25" s="359">
        <v>147000</v>
      </c>
      <c r="E25" s="349"/>
      <c r="F25" s="777"/>
      <c r="G25" s="217" t="s">
        <v>223</v>
      </c>
      <c r="H25" s="360"/>
      <c r="I25" s="360"/>
      <c r="J25" s="346" t="str">
        <f>0!B129</f>
        <v>Konstruksiyon</v>
      </c>
      <c r="K25" s="207">
        <v>57.1</v>
      </c>
      <c r="L25" s="101"/>
      <c r="M25" s="205">
        <f>M22+1</f>
        <v>3</v>
      </c>
      <c r="N25" s="70" t="str">
        <f>0!B160</f>
        <v>İşletmede bileşik gerilim</v>
      </c>
      <c r="O25" s="101"/>
      <c r="P25" s="101"/>
      <c r="R25" s="323">
        <f>R17+1</f>
        <v>2</v>
      </c>
      <c r="S25" s="63" t="str">
        <f>0!B87</f>
        <v>İşletmedeki değerler :</v>
      </c>
      <c r="V25" s="101"/>
      <c r="W25" s="101"/>
      <c r="X25" s="101"/>
      <c r="Y25" s="101"/>
      <c r="Z25" s="101"/>
      <c r="AA25" s="128"/>
      <c r="AE25" s="771" t="str">
        <f>IF(AG24&lt;0.5,"",IF(Info!$H$13&gt;2.5,"Load case 1-3",IF(Info!$H$13&gt;1.5,"Beanspruchungsfall 1-3","Zorlanma hali 1-3")))</f>
        <v>Zorlanma hali 1-3</v>
      </c>
      <c r="AF25" s="771"/>
      <c r="AG25" s="361">
        <v>3</v>
      </c>
    </row>
    <row r="26" spans="1:33" ht="14.25" customHeight="1">
      <c r="A26" s="769"/>
      <c r="B26" s="362" t="s">
        <v>207</v>
      </c>
      <c r="C26" s="363">
        <v>1.3E-05</v>
      </c>
      <c r="D26" s="363">
        <v>1.325E-05</v>
      </c>
      <c r="E26" s="364"/>
      <c r="F26" s="777"/>
      <c r="G26" s="71" t="str">
        <f>0!B82</f>
        <v>Eşdeğer alan</v>
      </c>
      <c r="I26" s="360"/>
      <c r="J26" s="185" t="s">
        <v>121</v>
      </c>
      <c r="K26" s="222">
        <f>IF(K25&lt;E34,PI()/4*(K25^2-E34^2),IF(K25&lt;E34+E32,PI()/4*(E34^2-E35^2)+PI()/8*E34*(K25-E34)*(((E32*E34/K25^2)^(1/3)+1)^2-1),PI()/4*(E34^2-E35^2)+PI()/8*E34*E32*(((E32*E34/(E34+E32)^2)^(1/3)+1)^2-1)))</f>
        <v>936.1408379325206</v>
      </c>
      <c r="L26" s="772" t="s">
        <v>128</v>
      </c>
      <c r="N26" s="365" t="str">
        <f>2!M31</f>
        <v>Çekme gerilimi</v>
      </c>
      <c r="O26" s="366"/>
      <c r="P26" s="250" t="s">
        <v>141</v>
      </c>
      <c r="Q26" s="251">
        <f>K39/K14*10^3</f>
        <v>456.861986391953</v>
      </c>
      <c r="S26" s="211" t="s">
        <v>142</v>
      </c>
      <c r="T26" s="212">
        <f>E16/Q27</f>
        <v>0.9721190845575787</v>
      </c>
      <c r="V26" s="101"/>
      <c r="W26" s="101"/>
      <c r="X26" s="101"/>
      <c r="Y26" s="101"/>
      <c r="Z26" s="67"/>
      <c r="AA26" s="67"/>
      <c r="AB26" s="115" t="s">
        <v>177</v>
      </c>
      <c r="AC26" s="296">
        <f>E5*AE34*Z37/Z38*10^3</f>
        <v>8.536491468624122</v>
      </c>
      <c r="AE26" s="367" t="str">
        <f>IF(AG24&lt;20,"",IF(Info!H13&gt;2.5,"Internal thread",IF(Info!H13&gt;1.5,"Sackgewinde","Cepsomun")))</f>
        <v>Cepsomun</v>
      </c>
      <c r="AF26" s="368" t="str">
        <f>IF(AG24&lt;20,"","Edin M")</f>
        <v>Edin M</v>
      </c>
      <c r="AG26" s="369">
        <v>168000</v>
      </c>
    </row>
    <row r="27" spans="1:33" ht="14.25" customHeight="1">
      <c r="A27" s="118">
        <f>A19+1</f>
        <v>4</v>
      </c>
      <c r="B27" s="370" t="str">
        <f>0!B184</f>
        <v>Cıvata, Vida ve Konstruksiyon değerleri :</v>
      </c>
      <c r="C27" s="370"/>
      <c r="D27" s="371"/>
      <c r="E27" s="232"/>
      <c r="F27" s="777"/>
      <c r="G27" s="344" t="s">
        <v>224</v>
      </c>
      <c r="H27" s="345"/>
      <c r="I27" s="345"/>
      <c r="J27" s="346" t="str">
        <f>0!B145</f>
        <v>Montaj</v>
      </c>
      <c r="K27" s="225">
        <f>Z62</f>
        <v>0.000635842462073</v>
      </c>
      <c r="L27" s="772"/>
      <c r="N27" s="372" t="str">
        <f>2!M32</f>
        <v>Bileşik gerilim</v>
      </c>
      <c r="O27" s="373"/>
      <c r="P27" s="226" t="s">
        <v>145</v>
      </c>
      <c r="Q27" s="227">
        <f>(AC84^2+3*Q19^2)^(0.5)</f>
        <v>560.6309027952425</v>
      </c>
      <c r="S27" s="62" t="str">
        <f>IF(T26&gt;=1,0!B253,0!B254)</f>
        <v>  Yetersiz!</v>
      </c>
      <c r="V27" s="101"/>
      <c r="W27" s="101"/>
      <c r="X27" s="101"/>
      <c r="Y27" s="101"/>
      <c r="Z27" s="101"/>
      <c r="AA27" s="128"/>
      <c r="AE27" s="374"/>
      <c r="AF27" s="375" t="str">
        <f>IF(AG24&lt;20,"","Edin İş")</f>
        <v>Edin İş</v>
      </c>
      <c r="AG27" s="376">
        <v>147000</v>
      </c>
    </row>
    <row r="28" spans="1:31" ht="14.25" customHeight="1">
      <c r="A28" s="755" t="str">
        <f>2!A20</f>
        <v>Tablo 4, 5 ve 7, 8</v>
      </c>
      <c r="B28" s="158" t="str">
        <f>0!B152</f>
        <v>Anma çapı</v>
      </c>
      <c r="C28" s="189"/>
      <c r="D28" s="190" t="s">
        <v>107</v>
      </c>
      <c r="E28" s="377">
        <v>16</v>
      </c>
      <c r="F28" s="777"/>
      <c r="G28" s="344" t="s">
        <v>225</v>
      </c>
      <c r="H28" s="345"/>
      <c r="I28" s="345"/>
      <c r="J28" s="350" t="str">
        <f>0!B59</f>
        <v>İşletme</v>
      </c>
      <c r="K28" s="351">
        <f>Z80</f>
        <v>0.000723750883003898</v>
      </c>
      <c r="L28" s="772"/>
      <c r="M28" s="205">
        <f>M25+1</f>
        <v>4</v>
      </c>
      <c r="N28" s="63" t="str">
        <f>0!B102</f>
        <v>İşletmede temas yüzeyi bası gerilimi</v>
      </c>
      <c r="O28" s="115"/>
      <c r="P28" s="115"/>
      <c r="Q28" s="71"/>
      <c r="X28" s="101"/>
      <c r="Y28" s="101"/>
      <c r="Z28" s="101"/>
      <c r="AE28" s="63" t="str">
        <f>0!B90</f>
        <v>Eksen dişı kuvvet etkisinde</v>
      </c>
    </row>
    <row r="29" spans="1:33" ht="14.25" customHeight="1">
      <c r="A29" s="755"/>
      <c r="B29" s="162" t="str">
        <f>0!B200</f>
        <v>Adım veya hatve</v>
      </c>
      <c r="C29" s="164"/>
      <c r="D29" s="195" t="s">
        <v>109</v>
      </c>
      <c r="E29" s="378">
        <v>2</v>
      </c>
      <c r="F29" s="777"/>
      <c r="G29" s="200" t="str">
        <f>0!B134</f>
        <v>Kuvvet dağılım faktörü</v>
      </c>
      <c r="H29" s="163"/>
      <c r="I29" s="379"/>
      <c r="J29" s="229" t="s">
        <v>127</v>
      </c>
      <c r="K29" s="230">
        <v>0.5</v>
      </c>
      <c r="L29" s="772"/>
      <c r="N29" s="259" t="s">
        <v>226</v>
      </c>
      <c r="O29" s="380"/>
      <c r="P29" s="380"/>
      <c r="Q29" s="381">
        <f>K39/Q23*10^3+AC26</f>
        <v>464.14324545016603</v>
      </c>
      <c r="R29" s="101"/>
      <c r="S29" s="211" t="s">
        <v>150</v>
      </c>
      <c r="T29" s="212">
        <f>E38/Q29</f>
        <v>1.3357945118832242</v>
      </c>
      <c r="Y29" s="115" t="s">
        <v>184</v>
      </c>
      <c r="Z29" s="382">
        <f>1000*D25/C25</f>
        <v>986.5771812080537</v>
      </c>
      <c r="AB29" s="101"/>
      <c r="AC29" s="101"/>
      <c r="AD29" s="323">
        <f>M39+1</f>
        <v>1</v>
      </c>
      <c r="AE29" s="383" t="str">
        <f>0!B150</f>
        <v>Konstruksiyona göre</v>
      </c>
      <c r="AF29" s="383"/>
      <c r="AG29" s="383"/>
    </row>
    <row r="30" spans="1:33" ht="14.25" customHeight="1">
      <c r="A30" s="755"/>
      <c r="B30" s="162" t="str">
        <f>0!B181</f>
        <v>Civatanın boyu</v>
      </c>
      <c r="C30" s="201"/>
      <c r="D30" s="202" t="s">
        <v>111</v>
      </c>
      <c r="E30" s="384">
        <v>130</v>
      </c>
      <c r="F30" s="777"/>
      <c r="G30" s="200" t="str">
        <f>0!B136</f>
        <v>Kuvvet oranı</v>
      </c>
      <c r="H30" s="224" t="s">
        <v>227</v>
      </c>
      <c r="I30" s="163"/>
      <c r="J30" s="385" t="str">
        <f>0!B59</f>
        <v>İşletme</v>
      </c>
      <c r="K30" s="225">
        <f>AC80</f>
        <v>0.08222419538655742</v>
      </c>
      <c r="L30" s="773" t="s">
        <v>134</v>
      </c>
      <c r="M30" s="205">
        <f>M28+1</f>
        <v>5</v>
      </c>
      <c r="N30" s="63" t="str">
        <f>0!B51</f>
        <v>İşletmede genlik gerilimi</v>
      </c>
      <c r="R30" s="768" t="str">
        <f>2!Q36</f>
        <v>Tablo 10</v>
      </c>
      <c r="S30" s="62" t="str">
        <f>IF(T29&gt;=1,0!B253,0!B254)</f>
        <v>  Yeterli</v>
      </c>
      <c r="Y30" s="115" t="s">
        <v>185</v>
      </c>
      <c r="Z30" s="386">
        <f>C22</f>
        <v>30</v>
      </c>
      <c r="AB30" s="101"/>
      <c r="AC30" s="101"/>
      <c r="AD30" s="254"/>
      <c r="AE30" s="352" t="str">
        <f>0!B210</f>
        <v>Dörtköşe plaka = 1</v>
      </c>
      <c r="AF30" s="387"/>
      <c r="AG30" s="765">
        <v>2</v>
      </c>
    </row>
    <row r="31" spans="1:33" ht="14.25" customHeight="1">
      <c r="A31" s="755"/>
      <c r="B31" s="162" t="str">
        <f>0!B110</f>
        <v>Civatada vida boyu</v>
      </c>
      <c r="C31" s="201"/>
      <c r="D31" s="202" t="s">
        <v>113</v>
      </c>
      <c r="E31" s="384">
        <v>44</v>
      </c>
      <c r="F31" s="777"/>
      <c r="G31" s="200" t="str">
        <f>0!B189</f>
        <v>Oturma değeri</v>
      </c>
      <c r="H31" s="163"/>
      <c r="I31" s="356"/>
      <c r="J31" s="240" t="s">
        <v>133</v>
      </c>
      <c r="K31" s="241">
        <v>0.011</v>
      </c>
      <c r="L31" s="773"/>
      <c r="N31" s="352" t="str">
        <f>2!M36</f>
        <v>Genlik kuvveti</v>
      </c>
      <c r="O31" s="388"/>
      <c r="P31" s="209" t="s">
        <v>154</v>
      </c>
      <c r="Q31" s="265">
        <f>0.5*K30*(E5-E6)*10^3</f>
        <v>172.6708103117706</v>
      </c>
      <c r="R31" s="768"/>
      <c r="S31" s="211" t="s">
        <v>158</v>
      </c>
      <c r="T31" s="389">
        <f>Q33/Q32</f>
        <v>26.218361096154467</v>
      </c>
      <c r="Y31" s="115" t="s">
        <v>186</v>
      </c>
      <c r="Z31" s="386">
        <f>PI()*E28^4/64</f>
        <v>3216.990877275948</v>
      </c>
      <c r="AB31" s="101"/>
      <c r="AC31" s="101"/>
      <c r="AD31" s="68"/>
      <c r="AE31" s="340" t="str">
        <f>0!B164</f>
        <v>Yuvarlak kapak = 2</v>
      </c>
      <c r="AF31" s="390"/>
      <c r="AG31" s="765"/>
    </row>
    <row r="32" spans="1:31" ht="14.25" customHeight="1">
      <c r="A32" s="755"/>
      <c r="B32" s="162" t="str">
        <f>0!B106</f>
        <v>Toplam sıkılan boy</v>
      </c>
      <c r="C32" s="163"/>
      <c r="D32" s="213" t="s">
        <v>117</v>
      </c>
      <c r="E32" s="384">
        <v>100</v>
      </c>
      <c r="F32" s="777"/>
      <c r="G32" s="200" t="str">
        <f>0!B190</f>
        <v>Oturma kuvveti</v>
      </c>
      <c r="H32" s="360"/>
      <c r="I32" s="360"/>
      <c r="J32" s="185" t="s">
        <v>137</v>
      </c>
      <c r="K32" s="391">
        <f>K31*(1/(K22+K27))</f>
        <v>2.630921741227617</v>
      </c>
      <c r="L32" s="773"/>
      <c r="N32" s="331" t="str">
        <f>2!M37</f>
        <v>Genlik gerilimi</v>
      </c>
      <c r="O32" s="392"/>
      <c r="P32" s="218" t="s">
        <v>157</v>
      </c>
      <c r="Q32" s="393">
        <f>IF(Q51&gt;0.1,Q50+Q51,Q50)</f>
        <v>1.525648374942358</v>
      </c>
      <c r="R32" s="768"/>
      <c r="S32" s="62" t="str">
        <f>IF(T31&gt;=1,0!B253,0!B254)</f>
        <v>  Yeterli</v>
      </c>
      <c r="Y32" s="115" t="s">
        <v>187</v>
      </c>
      <c r="Z32" s="386">
        <f>PI()*K7^4/64</f>
        <v>1652.9036040405294</v>
      </c>
      <c r="AB32" s="101"/>
      <c r="AC32" s="101"/>
      <c r="AD32" s="101"/>
      <c r="AE32" s="101"/>
    </row>
    <row r="33" spans="1:29" ht="14.25" customHeight="1">
      <c r="A33" s="755"/>
      <c r="B33" s="162" t="str">
        <f>0!B176</f>
        <v>Anahtar ağızı</v>
      </c>
      <c r="C33" s="137"/>
      <c r="D33" s="195" t="s">
        <v>120</v>
      </c>
      <c r="E33" s="394">
        <v>24</v>
      </c>
      <c r="F33" s="777"/>
      <c r="G33" s="200"/>
      <c r="H33" s="395"/>
      <c r="I33" s="395"/>
      <c r="J33" s="396" t="s">
        <v>228</v>
      </c>
      <c r="K33" s="397">
        <f>Q66</f>
        <v>0.003899999999999959</v>
      </c>
      <c r="L33" s="773"/>
      <c r="N33" s="340" t="str">
        <f>2!M38</f>
        <v>Genlik mukavemeti</v>
      </c>
      <c r="O33" s="398"/>
      <c r="P33" s="226" t="s">
        <v>161</v>
      </c>
      <c r="Q33" s="272">
        <v>40</v>
      </c>
      <c r="R33" s="768"/>
      <c r="Y33" s="115" t="s">
        <v>188</v>
      </c>
      <c r="Z33" s="386">
        <f>Z89*Z32*E17</f>
        <v>72.76386048613469</v>
      </c>
      <c r="AB33" s="101"/>
      <c r="AC33" s="63" t="str">
        <f>0!B104</f>
        <v>Geometri</v>
      </c>
    </row>
    <row r="34" spans="1:31" ht="14.25" customHeight="1">
      <c r="A34" s="755"/>
      <c r="B34" s="162" t="str">
        <f>0!B133</f>
        <v>Kafaaltı dış çapı</v>
      </c>
      <c r="C34" s="137"/>
      <c r="D34" s="213" t="s">
        <v>123</v>
      </c>
      <c r="E34" s="394">
        <v>22.5</v>
      </c>
      <c r="F34" s="777"/>
      <c r="G34" s="200"/>
      <c r="H34" s="395"/>
      <c r="I34" s="395"/>
      <c r="J34" s="396" t="s">
        <v>229</v>
      </c>
      <c r="K34" s="399">
        <f>K33/(K23+K28)*10^3</f>
        <v>836.7339124883264</v>
      </c>
      <c r="L34" s="766" t="s">
        <v>210</v>
      </c>
      <c r="M34" s="205">
        <f>M30+1</f>
        <v>6</v>
      </c>
      <c r="N34" s="383" t="str">
        <f>0!B122</f>
        <v>Sıkıştırma kuvvetleri</v>
      </c>
      <c r="O34" s="71"/>
      <c r="P34" s="71"/>
      <c r="Q34" s="101"/>
      <c r="R34" s="101"/>
      <c r="Y34" s="115" t="s">
        <v>189</v>
      </c>
      <c r="Z34" s="382">
        <f>PI()*((E34+Z30)^4-E35^4)/64</f>
        <v>368308.78717134247</v>
      </c>
      <c r="AB34" s="323">
        <f>AD29+1</f>
        <v>2</v>
      </c>
      <c r="AC34" s="400" t="s">
        <v>230</v>
      </c>
      <c r="AD34" s="401"/>
      <c r="AE34" s="402">
        <v>63.024</v>
      </c>
    </row>
    <row r="35" spans="1:31" ht="14.25" customHeight="1">
      <c r="A35" s="755"/>
      <c r="B35" s="176" t="str">
        <f>0!B76</f>
        <v>Geçiş deliği çapı</v>
      </c>
      <c r="C35" s="148"/>
      <c r="D35" s="267" t="s">
        <v>126</v>
      </c>
      <c r="E35" s="403">
        <v>17.5</v>
      </c>
      <c r="F35" s="777"/>
      <c r="G35" s="200" t="str">
        <f>0!B216</f>
        <v>Hesap. ön germe kuvveti</v>
      </c>
      <c r="H35" s="360"/>
      <c r="I35" s="360"/>
      <c r="J35" s="404" t="s">
        <v>149</v>
      </c>
      <c r="K35" s="391">
        <f>K18/(0.159*E29+0.577*D40*K9+(E34+E35)*D41/4)</f>
        <v>72.95256256101975</v>
      </c>
      <c r="L35" s="766"/>
      <c r="N35" s="352" t="str">
        <f>0!B121</f>
        <v>Enine kuvvettem</v>
      </c>
      <c r="O35" s="329"/>
      <c r="P35" s="405" t="s">
        <v>231</v>
      </c>
      <c r="Q35" s="406">
        <f>IF(E7&lt;=0,0,E7/E8)</f>
        <v>1</v>
      </c>
      <c r="R35" s="101"/>
      <c r="S35" s="211" t="s">
        <v>232</v>
      </c>
      <c r="T35" s="212">
        <f>K38/Q37</f>
        <v>1.0428736797968645</v>
      </c>
      <c r="Y35" s="115" t="s">
        <v>233</v>
      </c>
      <c r="Z35" s="407">
        <f>PI()*(K25^4-E35^4)/64</f>
        <v>517208.4638927675</v>
      </c>
      <c r="AB35" s="101"/>
      <c r="AC35" s="200" t="s">
        <v>234</v>
      </c>
      <c r="AD35" s="201"/>
      <c r="AE35" s="408">
        <v>20.4</v>
      </c>
    </row>
    <row r="36" spans="1:31" ht="14.25" customHeight="1">
      <c r="A36" s="118">
        <f>A27+1</f>
        <v>5</v>
      </c>
      <c r="B36" s="70" t="str">
        <f>0!B114</f>
        <v>Sınır yüzey basıncı</v>
      </c>
      <c r="D36" s="151"/>
      <c r="E36" s="151" t="str">
        <f>1!H12</f>
        <v>Tablo 14</v>
      </c>
      <c r="G36" s="200" t="str">
        <f>0!B215</f>
        <v>Alınan ön germe kuvveti</v>
      </c>
      <c r="H36" s="360"/>
      <c r="I36" s="360"/>
      <c r="J36" s="404" t="s">
        <v>235</v>
      </c>
      <c r="K36" s="409">
        <v>73</v>
      </c>
      <c r="L36" s="766"/>
      <c r="N36" s="331" t="str">
        <f>0!B124</f>
        <v>Sıkıştırma kuvveti</v>
      </c>
      <c r="O36" s="357"/>
      <c r="P36" s="185" t="s">
        <v>236</v>
      </c>
      <c r="Q36" s="410">
        <f>IF(AG30&lt;1.5,IF(AE34+AE38&lt;0.01,0,AE34*AE35*AE36*E5/AE37),AE39*AE35*E5/(AE37+AE38*AE35))</f>
        <v>40.92887945143871</v>
      </c>
      <c r="S36" s="62" t="str">
        <f>IF(T35&gt;=1,0!B253,0!B254)</f>
        <v>  Yeterli</v>
      </c>
      <c r="Y36" s="115" t="s">
        <v>190</v>
      </c>
      <c r="Z36" s="382">
        <f>Z35*Z29*E32/E17</f>
        <v>309252.16266925697</v>
      </c>
      <c r="AB36" s="101"/>
      <c r="AC36" s="411" t="s">
        <v>237</v>
      </c>
      <c r="AD36" s="201"/>
      <c r="AE36" s="412"/>
    </row>
    <row r="37" spans="1:31" ht="14.25" customHeight="1">
      <c r="A37" s="767"/>
      <c r="B37" s="413" t="str">
        <f>0!B145</f>
        <v>Montaj</v>
      </c>
      <c r="C37" s="159"/>
      <c r="D37" s="414" t="s">
        <v>97</v>
      </c>
      <c r="E37" s="415">
        <v>700</v>
      </c>
      <c r="G37" s="200" t="str">
        <f>0!B217</f>
        <v>max. Ön germe kuvveti</v>
      </c>
      <c r="H37" s="360"/>
      <c r="I37" s="360"/>
      <c r="J37" s="404" t="s">
        <v>153</v>
      </c>
      <c r="K37" s="416">
        <f>K36-K32+K34/10^3</f>
        <v>71.20581217126072</v>
      </c>
      <c r="L37" s="766"/>
      <c r="N37" s="340" t="str">
        <f>0!B83</f>
        <v>Gerekli Sıkma kuvveti</v>
      </c>
      <c r="O37" s="417"/>
      <c r="P37" s="270" t="s">
        <v>238</v>
      </c>
      <c r="Q37" s="418">
        <f>E9+Q35+Q36</f>
        <v>42.02887945143871</v>
      </c>
      <c r="Y37" s="283" t="s">
        <v>239</v>
      </c>
      <c r="Z37" s="419">
        <f>E32*Z32/Z33/Z36</f>
        <v>0.007345460855529695</v>
      </c>
      <c r="AC37" s="200" t="s">
        <v>240</v>
      </c>
      <c r="AD37" s="201"/>
      <c r="AE37" s="420">
        <v>133</v>
      </c>
    </row>
    <row r="38" spans="1:35" ht="14.25" customHeight="1">
      <c r="A38" s="767"/>
      <c r="B38" s="269" t="str">
        <f>0!B59</f>
        <v>İşletme</v>
      </c>
      <c r="C38" s="148"/>
      <c r="D38" s="267" t="s">
        <v>241</v>
      </c>
      <c r="E38" s="421">
        <v>620</v>
      </c>
      <c r="G38" s="200" t="str">
        <f>0!B219</f>
        <v>Ön germe kuvveti, İş.</v>
      </c>
      <c r="H38" s="360"/>
      <c r="I38" s="360"/>
      <c r="J38" s="330" t="s">
        <v>156</v>
      </c>
      <c r="K38" s="422">
        <f>IF(K34&gt;0,K36/K17-K32+K34/10^3,K36/K17-K32-K34)</f>
        <v>43.83081217126071</v>
      </c>
      <c r="L38" s="766"/>
      <c r="M38" s="205">
        <f>M34+1</f>
        <v>7</v>
      </c>
      <c r="N38" s="63" t="str">
        <f>0!B107</f>
        <v>İşletmedeki toplam bileşik gerilim</v>
      </c>
      <c r="V38" s="101"/>
      <c r="W38" s="101"/>
      <c r="Y38" s="115" t="s">
        <v>192</v>
      </c>
      <c r="Z38" s="382">
        <f>K15</f>
        <v>244.0383698586221</v>
      </c>
      <c r="AA38" s="128"/>
      <c r="AC38" s="200" t="s">
        <v>120</v>
      </c>
      <c r="AD38" s="201"/>
      <c r="AE38" s="423">
        <v>0.369</v>
      </c>
      <c r="AG38" s="101"/>
      <c r="AH38" s="101"/>
      <c r="AI38" s="101"/>
    </row>
    <row r="39" spans="1:35" ht="14.25" customHeight="1">
      <c r="A39" s="118">
        <f>A36+1</f>
        <v>6</v>
      </c>
      <c r="B39" s="62" t="str">
        <f>0!B163</f>
        <v>Sürtünme katsayıları ve açıları :</v>
      </c>
      <c r="C39" s="68"/>
      <c r="E39" s="119" t="str">
        <f>2!J13</f>
        <v>Tablo 2</v>
      </c>
      <c r="G39" s="200" t="str">
        <f>0!B177</f>
        <v>max. Cıvata kuvveti</v>
      </c>
      <c r="H39" s="360"/>
      <c r="I39" s="360"/>
      <c r="J39" s="330" t="s">
        <v>160</v>
      </c>
      <c r="K39" s="416">
        <f>K37+K30*E5</f>
        <v>71.57582105050022</v>
      </c>
      <c r="L39" s="424"/>
      <c r="N39" s="365" t="str">
        <f>N26</f>
        <v>Çekme gerilimi</v>
      </c>
      <c r="O39" s="329"/>
      <c r="P39" s="425" t="s">
        <v>242</v>
      </c>
      <c r="Q39" s="251">
        <f>Q26</f>
        <v>456.861986391953</v>
      </c>
      <c r="S39" s="211" t="s">
        <v>243</v>
      </c>
      <c r="T39" s="212">
        <f>IF(E10&gt;0.001,E11/Q41,"")</f>
        <v>1.2528173040353041</v>
      </c>
      <c r="V39" s="101"/>
      <c r="W39" s="101"/>
      <c r="X39" s="101"/>
      <c r="Y39" s="115" t="s">
        <v>193</v>
      </c>
      <c r="Z39" s="382">
        <f>PI()/32*(E34^4-E35^4)/E34</f>
        <v>709.0400086226964</v>
      </c>
      <c r="AA39" s="128"/>
      <c r="AC39" s="147" t="s">
        <v>244</v>
      </c>
      <c r="AD39" s="426"/>
      <c r="AE39" s="427">
        <v>62.654</v>
      </c>
      <c r="AG39" s="101"/>
      <c r="AH39" s="101"/>
      <c r="AI39" s="101"/>
    </row>
    <row r="40" spans="1:35" ht="14.25" customHeight="1">
      <c r="A40" s="767"/>
      <c r="B40" s="166" t="str">
        <f>0!B108</f>
        <v>Vida</v>
      </c>
      <c r="C40" s="167" t="s">
        <v>99</v>
      </c>
      <c r="D40" s="168">
        <v>0.12</v>
      </c>
      <c r="E40" s="169">
        <f>180*(ATAN(D40))/PI()</f>
        <v>6.84277341263094</v>
      </c>
      <c r="F40" s="115"/>
      <c r="G40" s="200" t="str">
        <f>0!B187</f>
        <v>Cıvata ek kuvveti</v>
      </c>
      <c r="H40" s="356"/>
      <c r="I40" s="356"/>
      <c r="J40" s="428" t="s">
        <v>245</v>
      </c>
      <c r="K40" s="248">
        <f>E5*K30*10^3</f>
        <v>370.0088792395084</v>
      </c>
      <c r="L40" s="429"/>
      <c r="N40" s="430" t="str">
        <f>0!B64</f>
        <v>Eğilme gerilimi</v>
      </c>
      <c r="O40" s="392"/>
      <c r="P40" s="431" t="s">
        <v>246</v>
      </c>
      <c r="Q40" s="266">
        <f>IF(E10&lt;0.001,0,3*E17*E10*E28/E32^2)</f>
        <v>81.576</v>
      </c>
      <c r="S40" s="62" t="str">
        <f>IF(T39&gt;=1,0!B253,0!B254)</f>
        <v>  Yeterli</v>
      </c>
      <c r="V40" s="101"/>
      <c r="W40" s="101"/>
      <c r="X40" s="101"/>
      <c r="Y40" s="101"/>
      <c r="Z40" s="101"/>
      <c r="AA40" s="128"/>
      <c r="AG40" s="101"/>
      <c r="AH40" s="101"/>
      <c r="AI40" s="101"/>
    </row>
    <row r="41" spans="1:35" ht="14.25" customHeight="1">
      <c r="A41" s="767"/>
      <c r="B41" s="172" t="str">
        <f>0!B132</f>
        <v>Kafa</v>
      </c>
      <c r="C41" s="173" t="s">
        <v>101</v>
      </c>
      <c r="D41" s="174">
        <v>0.12</v>
      </c>
      <c r="E41" s="175">
        <f>180*(ATAN(D41))/PI()</f>
        <v>6.84277341263094</v>
      </c>
      <c r="G41" s="147" t="str">
        <f>0!B81</f>
        <v>Plakalarca alınan kuvvet</v>
      </c>
      <c r="H41" s="242"/>
      <c r="I41" s="242"/>
      <c r="J41" s="432" t="s">
        <v>247</v>
      </c>
      <c r="K41" s="433">
        <f>E5*10^3-K40</f>
        <v>4129.991120760492</v>
      </c>
      <c r="L41" s="429"/>
      <c r="N41" s="372" t="str">
        <f>N27</f>
        <v>Bileşik gerilim</v>
      </c>
      <c r="O41" s="434"/>
      <c r="P41" s="435" t="s">
        <v>248</v>
      </c>
      <c r="Q41" s="227">
        <f>((Q26+Q40)^2+3*Q19^2)^(0.5)</f>
        <v>622.5967644984091</v>
      </c>
      <c r="X41" s="101"/>
      <c r="Z41" s="115"/>
      <c r="AA41" s="436"/>
      <c r="AG41" s="101"/>
      <c r="AH41" s="101"/>
      <c r="AI41" s="101"/>
    </row>
    <row r="42" spans="1:31" ht="14.25" customHeight="1">
      <c r="A42" s="275" t="s">
        <v>162</v>
      </c>
      <c r="B42" s="70" t="str">
        <f>0!B245</f>
        <v>1. Parça;bağlanan parçadır (hmin). 2. Parça;taşıyıcı ana parçadır. 3. Parça;ek konstruksiyon parçalarıdır.</v>
      </c>
      <c r="N42" s="764" t="str">
        <f>IF(MIN(T18,T23,T26,T29,T31,T35,T39)&lt;0.999,0!B251,0!B250)</f>
        <v> Birden küçük, yani yetersiz sonuçlar var. Buna rağmen kosntruksiyonu yapmak ister misiniz?</v>
      </c>
      <c r="O42" s="764"/>
      <c r="P42" s="764"/>
      <c r="Q42" s="764"/>
      <c r="R42" s="764"/>
      <c r="S42" s="764"/>
      <c r="T42" s="764"/>
      <c r="V42" s="101"/>
      <c r="W42" s="101"/>
      <c r="X42" s="101"/>
      <c r="Y42" s="437"/>
      <c r="Z42" s="68"/>
      <c r="AA42" s="115"/>
      <c r="AC42" s="438" t="e">
        <f>#REF!</f>
        <v>#REF!</v>
      </c>
      <c r="AD42" s="438"/>
      <c r="AE42" s="438"/>
    </row>
    <row r="43" spans="1:31" ht="14.25" customHeight="1">
      <c r="A43" s="275" t="s">
        <v>163</v>
      </c>
      <c r="B43" s="70" t="str">
        <f>0!B246</f>
        <v>Sıkıştırma momenti ve ön gerilme kuvveti ya tabeladan veya hesaplananmomente göre alınır.</v>
      </c>
      <c r="N43" s="764"/>
      <c r="O43" s="764"/>
      <c r="P43" s="764"/>
      <c r="Q43" s="764"/>
      <c r="R43" s="764"/>
      <c r="S43" s="764"/>
      <c r="T43" s="764"/>
      <c r="Y43" s="101"/>
      <c r="Z43" s="101"/>
      <c r="AA43" s="101"/>
      <c r="AB43" s="101"/>
      <c r="AC43" s="439"/>
      <c r="AD43" s="439"/>
      <c r="AE43" s="439"/>
    </row>
    <row r="44" spans="1:31" ht="14.25" customHeight="1">
      <c r="A44" s="67"/>
      <c r="B44" s="115" t="str">
        <f>0!B56</f>
        <v>Düşünceler :</v>
      </c>
      <c r="C44" s="752"/>
      <c r="D44" s="752"/>
      <c r="E44" s="752"/>
      <c r="F44" s="752"/>
      <c r="G44" s="752"/>
      <c r="H44" s="752"/>
      <c r="I44" s="752"/>
      <c r="J44" s="752"/>
      <c r="K44" s="752"/>
      <c r="L44" s="276"/>
      <c r="M44" s="101"/>
      <c r="R44" s="101"/>
      <c r="Y44" s="101"/>
      <c r="Z44" s="101"/>
      <c r="AA44" s="101"/>
      <c r="AB44" s="101"/>
      <c r="AC44" s="439"/>
      <c r="AD44" s="439"/>
      <c r="AE44" s="439"/>
    </row>
    <row r="45" spans="2:30" ht="14.25" customHeight="1">
      <c r="B45" s="70" t="str">
        <f>0!B247</f>
        <v>Bu programdaki devamlı mukavemet hesabı, civata kafası presleme ve vida ovalama metoduyla imal edilmiş vede imalat bitiminde islah edilmiş civatalar için geçerlidir.</v>
      </c>
      <c r="D45" s="101"/>
      <c r="E45" s="101"/>
      <c r="M45" s="101"/>
      <c r="O45" s="279" t="s">
        <v>165</v>
      </c>
      <c r="P45" s="280"/>
      <c r="Q45" s="281"/>
      <c r="R45" s="101"/>
      <c r="AB45" s="101"/>
      <c r="AC45" s="101"/>
      <c r="AD45" s="101"/>
    </row>
    <row r="46" spans="2:30" ht="7.5" customHeight="1" hidden="1">
      <c r="B46" s="70"/>
      <c r="C46" s="101"/>
      <c r="D46" s="101"/>
      <c r="E46" s="101"/>
      <c r="AB46" s="101"/>
      <c r="AC46" s="101"/>
      <c r="AD46" s="101"/>
    </row>
    <row r="47" spans="2:30" ht="7.5" customHeight="1" hidden="1">
      <c r="B47" s="70"/>
      <c r="C47" s="101"/>
      <c r="D47" s="101"/>
      <c r="E47" s="101"/>
      <c r="R47" s="101"/>
      <c r="S47" s="101"/>
      <c r="T47" s="101"/>
      <c r="AB47" s="101"/>
      <c r="AC47" s="101"/>
      <c r="AD47" s="101"/>
    </row>
    <row r="48" spans="2:30" ht="14.25" customHeight="1" hidden="1">
      <c r="B48" s="70"/>
      <c r="C48" s="101"/>
      <c r="D48" s="101"/>
      <c r="E48" s="101"/>
      <c r="S48" s="440"/>
      <c r="T48" s="440"/>
      <c r="U48" s="440"/>
      <c r="AB48" s="101"/>
      <c r="AC48" s="101"/>
      <c r="AD48" s="101"/>
    </row>
    <row r="49" spans="2:31" ht="14.25" customHeight="1" hidden="1">
      <c r="B49" s="70"/>
      <c r="C49" s="101"/>
      <c r="D49" s="101"/>
      <c r="E49" s="101"/>
      <c r="R49" s="440"/>
      <c r="S49" s="440"/>
      <c r="T49" s="440"/>
      <c r="U49" s="440"/>
      <c r="Y49" s="67"/>
      <c r="Z49" s="441" t="str">
        <f>0!B145</f>
        <v>Montaj</v>
      </c>
      <c r="AA49" s="441" t="str">
        <f>0!B145</f>
        <v>Montaj</v>
      </c>
      <c r="AB49" s="441" t="str">
        <f>0!B145</f>
        <v>Montaj</v>
      </c>
      <c r="AC49" s="441" t="str">
        <f>0!B145</f>
        <v>Montaj</v>
      </c>
      <c r="AD49" s="441" t="str">
        <f>0!B145</f>
        <v>Montaj</v>
      </c>
      <c r="AE49" s="67"/>
    </row>
    <row r="50" spans="2:31" ht="14.25" customHeight="1" hidden="1">
      <c r="B50" s="70"/>
      <c r="C50" s="101"/>
      <c r="D50" s="101"/>
      <c r="E50" s="101"/>
      <c r="N50" s="442" t="s">
        <v>157</v>
      </c>
      <c r="O50" s="443"/>
      <c r="P50" s="443"/>
      <c r="Q50" s="266">
        <f>Q31/K12</f>
        <v>1.198092175140837</v>
      </c>
      <c r="R50" s="440"/>
      <c r="S50" s="440"/>
      <c r="T50" s="440"/>
      <c r="U50" s="440"/>
      <c r="Y50" s="283" t="s">
        <v>166</v>
      </c>
      <c r="Z50" s="284">
        <f>0.5*$K$11/$D$17/$K$8</f>
        <v>2.1742478564466578E-07</v>
      </c>
      <c r="AA50" s="284">
        <f>0.4*$K$11/$D$17/$K$8</f>
        <v>1.7393982851573265E-07</v>
      </c>
      <c r="AB50" s="284">
        <f>0.5*$K$11/$D$17/$K$8</f>
        <v>2.1742478564466578E-07</v>
      </c>
      <c r="AC50" s="284">
        <f>0.5*$K$11/$D$17/$K$8</f>
        <v>2.1742478564466578E-07</v>
      </c>
      <c r="AD50" s="284">
        <f>0.4*$K$11/$D$17/$K$8</f>
        <v>1.7393982851573265E-07</v>
      </c>
      <c r="AE50" s="67"/>
    </row>
    <row r="51" spans="2:31" ht="14.25" customHeight="1" hidden="1">
      <c r="B51" s="70"/>
      <c r="C51" s="101"/>
      <c r="D51" s="101"/>
      <c r="E51" s="101"/>
      <c r="N51" s="444" t="s">
        <v>249</v>
      </c>
      <c r="O51" s="392"/>
      <c r="P51" s="392"/>
      <c r="Q51" s="266">
        <f>IF(AG25&gt;1.5,Z37*Q31*AE34/Z38,0)</f>
        <v>0.3275561998015208</v>
      </c>
      <c r="R51" s="101"/>
      <c r="S51" s="101"/>
      <c r="T51" s="101"/>
      <c r="Y51" s="283" t="s">
        <v>171</v>
      </c>
      <c r="Z51" s="285">
        <f>$K$5/$D$17/(PI()*$K$11^2/4)</f>
        <v>2.3373164456801568E-06</v>
      </c>
      <c r="AA51" s="285">
        <f>$K$5/$D$17/(PI()*$K$11^2/4)</f>
        <v>2.3373164456801568E-06</v>
      </c>
      <c r="AB51" s="285">
        <f>$K$5/$D$17/$K$8</f>
        <v>2.3373164456801568E-06</v>
      </c>
      <c r="AC51" s="285">
        <f>$K$5/$D$17/$K$8</f>
        <v>2.3373164456801568E-06</v>
      </c>
      <c r="AD51" s="285">
        <f>$K$5/$D$17/$K$8</f>
        <v>2.3373164456801568E-06</v>
      </c>
      <c r="AE51" s="67"/>
    </row>
    <row r="52" spans="11:30" s="67" customFormat="1" ht="14.25" customHeight="1" hidden="1">
      <c r="K52" s="282"/>
      <c r="L52" s="282"/>
      <c r="M52" s="282"/>
      <c r="N52" s="282"/>
      <c r="O52" s="282"/>
      <c r="P52" s="282"/>
      <c r="Q52" s="282"/>
      <c r="R52" s="282"/>
      <c r="S52" s="282"/>
      <c r="U52" s="68"/>
      <c r="V52" s="115"/>
      <c r="W52" s="115"/>
      <c r="Y52" s="283" t="s">
        <v>250</v>
      </c>
      <c r="Z52" s="285">
        <f>$K$6/$D$17/$K$12</f>
        <v>5.308211892251387E-07</v>
      </c>
      <c r="AA52" s="285">
        <f>$K$6/$D$17/$K$12</f>
        <v>5.308211892251387E-07</v>
      </c>
      <c r="AB52" s="285">
        <f>$K$6/$D$17/$K$12</f>
        <v>5.308211892251387E-07</v>
      </c>
      <c r="AC52" s="285">
        <f>$K$6/$D$17/$K$12</f>
        <v>5.308211892251387E-07</v>
      </c>
      <c r="AD52" s="285">
        <f>$K$6/$D$17/$K$12</f>
        <v>5.308211892251387E-07</v>
      </c>
    </row>
    <row r="53" spans="1:31" s="67" customFormat="1" ht="14.25" customHeight="1" hidden="1">
      <c r="A53" s="101"/>
      <c r="B53" s="101"/>
      <c r="C53" s="101"/>
      <c r="D53" s="101"/>
      <c r="E53" s="101"/>
      <c r="F53" s="101"/>
      <c r="G53" s="101"/>
      <c r="H53" s="101"/>
      <c r="I53" s="101"/>
      <c r="J53" s="101"/>
      <c r="K53" s="101"/>
      <c r="L53" s="101"/>
      <c r="M53" s="101"/>
      <c r="N53" s="101"/>
      <c r="O53" s="101"/>
      <c r="P53" s="101"/>
      <c r="Q53" s="65" t="s">
        <v>251</v>
      </c>
      <c r="R53" s="445"/>
      <c r="Y53" s="283" t="s">
        <v>252</v>
      </c>
      <c r="Z53" s="285">
        <f>0.5*$E$28/$D$17/$K$12</f>
        <v>3.0332639384293643E-07</v>
      </c>
      <c r="AA53" s="285">
        <f>0.5*$E$28/$D$17/$K$12</f>
        <v>3.0332639384293643E-07</v>
      </c>
      <c r="AB53" s="285">
        <f>0.5*$K$11/$D$17/$K$12</f>
        <v>3.0332639384293643E-07</v>
      </c>
      <c r="AC53" s="285">
        <f>0.5*$K$11/$D$17/$K$12</f>
        <v>3.0332639384293643E-07</v>
      </c>
      <c r="AD53" s="285">
        <f>0.5*$K$11/$D$17/$K$12</f>
        <v>3.0332639384293643E-07</v>
      </c>
      <c r="AE53" s="446"/>
    </row>
    <row r="54" spans="1:31" s="67" customFormat="1" ht="14.25" customHeight="1" hidden="1">
      <c r="A54" s="101"/>
      <c r="B54" s="101"/>
      <c r="C54" s="101"/>
      <c r="D54" s="101"/>
      <c r="E54" s="101"/>
      <c r="F54" s="101"/>
      <c r="G54" s="101"/>
      <c r="H54" s="101"/>
      <c r="I54" s="101"/>
      <c r="J54" s="101"/>
      <c r="K54" s="101"/>
      <c r="L54" s="101"/>
      <c r="M54" s="101"/>
      <c r="N54" s="101"/>
      <c r="O54" s="101"/>
      <c r="P54" s="101"/>
      <c r="Q54" s="65" t="s">
        <v>253</v>
      </c>
      <c r="R54" s="445"/>
      <c r="S54" s="101"/>
      <c r="T54" s="101"/>
      <c r="U54" s="101"/>
      <c r="V54" s="101"/>
      <c r="W54" s="101"/>
      <c r="Y54" s="283" t="s">
        <v>254</v>
      </c>
      <c r="Z54" s="285">
        <f>0.4*$E$28/$D$17/$K$8</f>
        <v>1.7393982851573265E-07</v>
      </c>
      <c r="AA54" s="285">
        <f>0.4*$E$28/$D$17/$K$8</f>
        <v>1.7393982851573265E-07</v>
      </c>
      <c r="AB54" s="285">
        <f>0.33*$K$11/$AG$26/$K$8</f>
        <v>1.5631289053668294E-07</v>
      </c>
      <c r="AC54" s="285">
        <f>0.33*$K$11/$AG$26/$K$8</f>
        <v>1.5631289053668294E-07</v>
      </c>
      <c r="AD54" s="285">
        <f>0.33*$K$11/$AG$26/$K$8</f>
        <v>1.5631289053668294E-07</v>
      </c>
      <c r="AE54" s="101"/>
    </row>
    <row r="55" spans="1:31" s="67" customFormat="1" ht="14.25" customHeight="1" hidden="1">
      <c r="A55" s="101"/>
      <c r="B55" s="101"/>
      <c r="C55" s="101"/>
      <c r="D55" s="101"/>
      <c r="E55" s="101"/>
      <c r="F55" s="101"/>
      <c r="G55" s="101"/>
      <c r="H55" s="101"/>
      <c r="I55" s="101"/>
      <c r="J55" s="101"/>
      <c r="K55" s="101"/>
      <c r="L55" s="101"/>
      <c r="M55" s="101"/>
      <c r="N55" s="101"/>
      <c r="O55" s="101"/>
      <c r="P55" s="101"/>
      <c r="Q55" s="65"/>
      <c r="R55" s="445"/>
      <c r="S55" s="101"/>
      <c r="T55" s="101"/>
      <c r="U55" s="101"/>
      <c r="V55" s="101"/>
      <c r="W55" s="101"/>
      <c r="Y55" s="283" t="s">
        <v>255</v>
      </c>
      <c r="Z55" s="286">
        <f>SUM(Z50:Z54)</f>
        <v>3.56282864290863E-06</v>
      </c>
      <c r="AA55" s="286">
        <f>SUM(AA50:AA54)</f>
        <v>3.519343685779697E-06</v>
      </c>
      <c r="AB55" s="286">
        <f>SUM(AB50:AB54)</f>
        <v>3.5452017049295803E-06</v>
      </c>
      <c r="AC55" s="286">
        <f>SUM(AC50:AC54)</f>
        <v>3.5452017049295803E-06</v>
      </c>
      <c r="AD55" s="286">
        <f>SUM(AD50:AD54)</f>
        <v>3.5017167478006475E-06</v>
      </c>
      <c r="AE55" s="101"/>
    </row>
    <row r="56" spans="13:30" s="67" customFormat="1" ht="14.25" customHeight="1" hidden="1">
      <c r="M56" s="68"/>
      <c r="N56" s="68"/>
      <c r="O56" s="68"/>
      <c r="P56" s="68"/>
      <c r="Q56" s="68"/>
      <c r="R56" s="68"/>
      <c r="S56" s="101"/>
      <c r="T56" s="101"/>
      <c r="U56" s="101"/>
      <c r="V56" s="101"/>
      <c r="W56" s="101"/>
      <c r="Z56" s="447">
        <v>11</v>
      </c>
      <c r="AA56" s="447">
        <v>12</v>
      </c>
      <c r="AB56" s="447">
        <v>21</v>
      </c>
      <c r="AC56" s="447">
        <v>22</v>
      </c>
      <c r="AD56" s="447">
        <v>23</v>
      </c>
    </row>
    <row r="57" spans="1:26" s="67" customFormat="1" ht="14.25" customHeight="1" hidden="1">
      <c r="A57" s="101"/>
      <c r="B57" s="101"/>
      <c r="C57" s="101"/>
      <c r="D57" s="101"/>
      <c r="E57" s="101"/>
      <c r="F57" s="101"/>
      <c r="G57" s="101"/>
      <c r="H57" s="101"/>
      <c r="I57" s="101"/>
      <c r="J57" s="101"/>
      <c r="K57" s="101"/>
      <c r="L57" s="101"/>
      <c r="M57" s="101"/>
      <c r="N57" s="101"/>
      <c r="O57" s="68"/>
      <c r="P57" s="68"/>
      <c r="Q57" s="68"/>
      <c r="R57" s="68"/>
      <c r="S57" s="101"/>
      <c r="T57" s="101"/>
      <c r="U57" s="101"/>
      <c r="V57" s="101"/>
      <c r="W57" s="101"/>
      <c r="Y57" s="283" t="s">
        <v>255</v>
      </c>
      <c r="Z57" s="448">
        <f>IF(AG24=11,Z55,IF(AG24=12,AA56,IF(AG24=21,AB55,IF(AG24=22,AC55,IF(AG24=23,AD55,0)))))*10^3</f>
        <v>0.0035452017049295804</v>
      </c>
    </row>
    <row r="58" spans="1:31" s="67" customFormat="1" ht="14.25" customHeight="1" hidden="1">
      <c r="A58" s="101"/>
      <c r="B58" s="101"/>
      <c r="C58" s="101"/>
      <c r="D58" s="101"/>
      <c r="E58" s="101"/>
      <c r="F58" s="101"/>
      <c r="G58" s="101"/>
      <c r="H58" s="101"/>
      <c r="I58" s="101"/>
      <c r="J58" s="101"/>
      <c r="K58" s="101"/>
      <c r="L58" s="101"/>
      <c r="M58" s="101"/>
      <c r="N58" s="101"/>
      <c r="O58" s="68"/>
      <c r="P58" s="68"/>
      <c r="Q58" s="68"/>
      <c r="R58" s="68"/>
      <c r="S58" s="68"/>
      <c r="Z58" s="441" t="str">
        <f>0!B145</f>
        <v>Montaj</v>
      </c>
      <c r="AE58" s="101"/>
    </row>
    <row r="59" spans="1:31" s="67" customFormat="1" ht="14.25" customHeight="1" hidden="1">
      <c r="A59" s="101"/>
      <c r="B59" s="101"/>
      <c r="C59" s="101"/>
      <c r="D59" s="101"/>
      <c r="E59" s="101"/>
      <c r="F59" s="101"/>
      <c r="G59" s="101"/>
      <c r="H59" s="101"/>
      <c r="I59" s="101"/>
      <c r="J59" s="101"/>
      <c r="K59" s="101"/>
      <c r="L59" s="101"/>
      <c r="M59" s="101"/>
      <c r="N59" s="101"/>
      <c r="O59" s="288" t="s">
        <v>256</v>
      </c>
      <c r="P59" s="288"/>
      <c r="Q59" s="370">
        <f>E32*E18*(E14-D14)</f>
        <v>0.45870000000000005</v>
      </c>
      <c r="R59" s="68"/>
      <c r="S59" s="68"/>
      <c r="Y59" s="283" t="s">
        <v>172</v>
      </c>
      <c r="Z59" s="285">
        <f>$C$22/C23/$K$26</f>
        <v>1.9075273862190002E-07</v>
      </c>
      <c r="AE59" s="101"/>
    </row>
    <row r="60" spans="13:32" s="67" customFormat="1" ht="14.25" customHeight="1" hidden="1">
      <c r="M60" s="68"/>
      <c r="N60" s="68"/>
      <c r="R60" s="68"/>
      <c r="S60" s="68"/>
      <c r="Y60" s="283" t="s">
        <v>173</v>
      </c>
      <c r="Z60" s="285">
        <f>IF($D$22&gt;0,$D$22/D23/$K$26,"")</f>
        <v>4.4508972345110007E-07</v>
      </c>
      <c r="AE60" s="101"/>
      <c r="AF60" s="71"/>
    </row>
    <row r="61" spans="2:32" s="67" customFormat="1" ht="14.25" customHeight="1" hidden="1">
      <c r="B61" s="282"/>
      <c r="C61" s="282"/>
      <c r="D61" s="282"/>
      <c r="E61" s="282"/>
      <c r="F61" s="282"/>
      <c r="G61" s="282"/>
      <c r="H61" s="282"/>
      <c r="I61" s="282"/>
      <c r="J61" s="282"/>
      <c r="K61" s="282"/>
      <c r="L61" s="282"/>
      <c r="M61" s="282"/>
      <c r="N61" s="282"/>
      <c r="O61" s="115">
        <v>1</v>
      </c>
      <c r="P61" s="115"/>
      <c r="Q61" s="449">
        <f>IF(C22&lt;=0,"",C22*C26*(C24-D14))</f>
        <v>0.1287</v>
      </c>
      <c r="R61" s="282"/>
      <c r="S61" s="282"/>
      <c r="Y61" s="283" t="s">
        <v>174</v>
      </c>
      <c r="Z61" s="285">
        <f>IF($E$22&lt;=0,"",$E$22/E23/$K$26)</f>
      </c>
      <c r="AE61" s="101"/>
      <c r="AF61" s="71"/>
    </row>
    <row r="62" spans="1:31" s="67" customFormat="1" ht="14.25" customHeight="1" hidden="1">
      <c r="A62" s="101"/>
      <c r="B62" s="101"/>
      <c r="C62" s="101"/>
      <c r="D62" s="101"/>
      <c r="M62" s="68"/>
      <c r="N62" s="68"/>
      <c r="O62" s="101">
        <v>2</v>
      </c>
      <c r="P62" s="101"/>
      <c r="Q62" s="449">
        <f>IF(D22&lt;=0,"",D22*D26*(D24-D14))</f>
        <v>0.33390000000000003</v>
      </c>
      <c r="R62" s="68"/>
      <c r="S62" s="68"/>
      <c r="Y62" s="283" t="s">
        <v>175</v>
      </c>
      <c r="Z62" s="450">
        <f>SUM(Z59:Z61)*10^3</f>
        <v>0.000635842462073</v>
      </c>
      <c r="AE62" s="101"/>
    </row>
    <row r="63" spans="1:30" s="67" customFormat="1" ht="14.25" customHeight="1" hidden="1">
      <c r="A63" s="101"/>
      <c r="B63" s="101"/>
      <c r="C63" s="101"/>
      <c r="D63" s="101"/>
      <c r="N63" s="68"/>
      <c r="O63" s="101">
        <v>3</v>
      </c>
      <c r="P63" s="101"/>
      <c r="Q63" s="449">
        <f>IF(E22&lt;=0,"",E22*E26*(E24-D14))</f>
      </c>
      <c r="R63" s="68"/>
      <c r="S63" s="68"/>
      <c r="Z63" s="113">
        <v>0.5</v>
      </c>
      <c r="AA63" s="113">
        <v>0.4</v>
      </c>
      <c r="AB63" s="113">
        <v>0.5</v>
      </c>
      <c r="AC63" s="113">
        <v>0.5</v>
      </c>
      <c r="AD63" s="113">
        <v>0.4</v>
      </c>
    </row>
    <row r="64" spans="1:30" s="67" customFormat="1" ht="14.25" customHeight="1" hidden="1">
      <c r="A64" s="101"/>
      <c r="B64" s="101"/>
      <c r="C64" s="101"/>
      <c r="D64" s="101"/>
      <c r="N64" s="68"/>
      <c r="O64" s="288" t="s">
        <v>257</v>
      </c>
      <c r="P64" s="288"/>
      <c r="Q64" s="449">
        <f>SUM(Q61:Q63)</f>
        <v>0.4626</v>
      </c>
      <c r="R64" s="68"/>
      <c r="S64" s="68"/>
      <c r="Z64" s="451" t="str">
        <f>0!B59</f>
        <v>İşletme</v>
      </c>
      <c r="AA64" s="451" t="str">
        <f>0!B59</f>
        <v>İşletme</v>
      </c>
      <c r="AB64" s="451" t="str">
        <f>0!B59</f>
        <v>İşletme</v>
      </c>
      <c r="AC64" s="451" t="str">
        <f>0!B59</f>
        <v>İşletme</v>
      </c>
      <c r="AD64" s="451" t="str">
        <f>0!B59</f>
        <v>İşletme</v>
      </c>
    </row>
    <row r="65" spans="14:30" s="67" customFormat="1" ht="14.25" customHeight="1" hidden="1">
      <c r="N65" s="68"/>
      <c r="R65" s="68"/>
      <c r="S65" s="68"/>
      <c r="Y65" s="283" t="s">
        <v>166</v>
      </c>
      <c r="Z65" s="452">
        <f>0.5*$K$11/$E$17/$K$8</f>
        <v>2.411438531695384E-07</v>
      </c>
      <c r="AA65" s="452">
        <f>0.4*$K$11/$E$17/$K$8</f>
        <v>1.9291508253563072E-07</v>
      </c>
      <c r="AB65" s="452">
        <f>0.5*$K$11/$E$17/$K$8</f>
        <v>2.411438531695384E-07</v>
      </c>
      <c r="AC65" s="452">
        <f>0.5*$K$11/$E$17/$K$8</f>
        <v>2.411438531695384E-07</v>
      </c>
      <c r="AD65" s="452">
        <f>0.4*$K$11/$E$17/$K$8</f>
        <v>1.9291508253563072E-07</v>
      </c>
    </row>
    <row r="66" spans="1:30" s="67" customFormat="1" ht="14.25" customHeight="1" hidden="1">
      <c r="A66" s="101"/>
      <c r="B66" s="101"/>
      <c r="C66" s="101"/>
      <c r="D66" s="101"/>
      <c r="N66" s="68"/>
      <c r="O66" s="288" t="s">
        <v>258</v>
      </c>
      <c r="P66" s="288"/>
      <c r="Q66" s="449">
        <f>Q64-Q59</f>
        <v>0.003899999999999959</v>
      </c>
      <c r="R66" s="68"/>
      <c r="S66" s="68"/>
      <c r="Y66" s="283" t="s">
        <v>171</v>
      </c>
      <c r="Z66" s="285">
        <f>$K$5/$E$17/(PI()*$K$11^2/4)</f>
        <v>2.5922964215725377E-06</v>
      </c>
      <c r="AA66" s="285">
        <f>$K$5/$E$17/(PI()*$K$11^2/4)</f>
        <v>2.5922964215725377E-06</v>
      </c>
      <c r="AB66" s="285">
        <f>$K$5/$E$17/(PI()*$K$11^2/4)</f>
        <v>2.5922964215725377E-06</v>
      </c>
      <c r="AC66" s="285">
        <f>$K$5/$E$17/(PI()*$K$11^2/4)</f>
        <v>2.5922964215725377E-06</v>
      </c>
      <c r="AD66" s="285">
        <f>$K$5/$E$17/(PI()*$K$11^2/4)</f>
        <v>2.5922964215725377E-06</v>
      </c>
    </row>
    <row r="67" spans="18:30" s="67" customFormat="1" ht="14.25" customHeight="1" hidden="1">
      <c r="R67" s="68"/>
      <c r="S67" s="68"/>
      <c r="Y67" s="283" t="s">
        <v>250</v>
      </c>
      <c r="Z67" s="285">
        <f>$K$6/$E$17/$K$12</f>
        <v>5.887289553224266E-07</v>
      </c>
      <c r="AA67" s="285">
        <f>$K$6/$E$17/$K$12</f>
        <v>5.887289553224266E-07</v>
      </c>
      <c r="AB67" s="285">
        <f>$K$6/$E$17/$K$12</f>
        <v>5.887289553224266E-07</v>
      </c>
      <c r="AC67" s="285">
        <f>$K$6/$E$17/$K$12</f>
        <v>5.887289553224266E-07</v>
      </c>
      <c r="AD67" s="285">
        <f>$K$6/$E$17/$K$12</f>
        <v>5.887289553224266E-07</v>
      </c>
    </row>
    <row r="68" spans="18:30" s="67" customFormat="1" ht="14.25" customHeight="1" hidden="1">
      <c r="R68" s="68"/>
      <c r="S68" s="68"/>
      <c r="Y68" s="283" t="s">
        <v>259</v>
      </c>
      <c r="Z68" s="285">
        <f>0.5*$E$28/$E$17/$K$12</f>
        <v>3.364165458985295E-07</v>
      </c>
      <c r="AA68" s="285">
        <f>0.5*$E$28/$E$17/$K$12</f>
        <v>3.364165458985295E-07</v>
      </c>
      <c r="AB68" s="285">
        <f>0.5*$E$28/$E$17/$K$12</f>
        <v>3.364165458985295E-07</v>
      </c>
      <c r="AC68" s="285">
        <f>0.5*$E$28/$E$17/$K$12</f>
        <v>3.364165458985295E-07</v>
      </c>
      <c r="AD68" s="285">
        <f>0.5*$E$28/$E$17/$K$12</f>
        <v>3.364165458985295E-07</v>
      </c>
    </row>
    <row r="69" spans="18:30" s="67" customFormat="1" ht="14.25" customHeight="1" hidden="1">
      <c r="R69" s="68"/>
      <c r="S69" s="68"/>
      <c r="Y69" s="283" t="s">
        <v>260</v>
      </c>
      <c r="Z69" s="285">
        <f>0.4*$E$28/$E$17/$K$8</f>
        <v>1.9291508253563072E-07</v>
      </c>
      <c r="AA69" s="285">
        <f>0.4*$E$28/$E$17/$K$8</f>
        <v>1.9291508253563072E-07</v>
      </c>
      <c r="AB69" s="285">
        <f>0.33*$E$28/$AG$27/$K$8</f>
        <v>1.7864330347049475E-07</v>
      </c>
      <c r="AC69" s="285">
        <f>0.33*$E$28/$AG$27/$K$8</f>
        <v>1.7864330347049475E-07</v>
      </c>
      <c r="AD69" s="285">
        <f>0.33*$E$28/$AG$27/$K$8</f>
        <v>1.7864330347049475E-07</v>
      </c>
    </row>
    <row r="70" spans="1:30" s="67" customFormat="1" ht="14.25" customHeight="1" hidden="1">
      <c r="A70" s="101"/>
      <c r="B70" s="101"/>
      <c r="C70" s="101"/>
      <c r="D70" s="101"/>
      <c r="M70" s="68"/>
      <c r="N70" s="68"/>
      <c r="O70" s="453" t="s">
        <v>261</v>
      </c>
      <c r="P70" s="453"/>
      <c r="Q70" s="454">
        <f>IF(K38&lt;0,O70,"")</f>
      </c>
      <c r="R70" s="68"/>
      <c r="S70" s="68"/>
      <c r="Y70" s="283" t="s">
        <v>262</v>
      </c>
      <c r="Z70" s="286">
        <f>SUM(Z65:Z69)</f>
        <v>3.951500858498663E-06</v>
      </c>
      <c r="AA70" s="286">
        <f>SUM(AA65:AA69)</f>
        <v>3.903272087864755E-06</v>
      </c>
      <c r="AB70" s="286">
        <f>SUM(AB65:AB69)</f>
        <v>3.937229079433527E-06</v>
      </c>
      <c r="AC70" s="286">
        <f>SUM(AC65:AC69)</f>
        <v>3.937229079433527E-06</v>
      </c>
      <c r="AD70" s="286">
        <f>SUM(AD65:AD69)</f>
        <v>3.88900030879962E-06</v>
      </c>
    </row>
    <row r="71" spans="1:31" s="67" customFormat="1" ht="14.25" customHeight="1" hidden="1">
      <c r="A71" s="101"/>
      <c r="B71" s="101"/>
      <c r="C71" s="101"/>
      <c r="D71" s="101"/>
      <c r="M71" s="68"/>
      <c r="N71" s="68"/>
      <c r="O71" s="453" t="s">
        <v>263</v>
      </c>
      <c r="P71" s="453"/>
      <c r="Q71" s="454">
        <f>IF(K38&lt;0,O71,"")</f>
      </c>
      <c r="R71" s="101"/>
      <c r="S71" s="68"/>
      <c r="Z71" s="455">
        <v>11</v>
      </c>
      <c r="AA71" s="455">
        <v>12</v>
      </c>
      <c r="AB71" s="455">
        <v>21</v>
      </c>
      <c r="AC71" s="456">
        <v>22</v>
      </c>
      <c r="AD71" s="456">
        <v>23</v>
      </c>
      <c r="AE71" s="101"/>
    </row>
    <row r="72" spans="1:31" s="67" customFormat="1" ht="14.25" customHeight="1" hidden="1">
      <c r="A72" s="101"/>
      <c r="B72" s="101"/>
      <c r="C72" s="101"/>
      <c r="D72" s="101"/>
      <c r="M72" s="68"/>
      <c r="N72" s="68"/>
      <c r="O72" s="453" t="s">
        <v>264</v>
      </c>
      <c r="P72" s="453"/>
      <c r="Q72" s="454">
        <f>IF(K38&lt;0,O72,"")</f>
      </c>
      <c r="R72" s="101"/>
      <c r="S72" s="68"/>
      <c r="Y72" s="101"/>
      <c r="Z72" s="101"/>
      <c r="AA72" s="101"/>
      <c r="AB72" s="101"/>
      <c r="AC72" s="101"/>
      <c r="AD72" s="101"/>
      <c r="AE72" s="101"/>
    </row>
    <row r="73" spans="1:31" s="67" customFormat="1" ht="14.25" customHeight="1" hidden="1">
      <c r="A73" s="101"/>
      <c r="B73" s="101"/>
      <c r="C73" s="101"/>
      <c r="D73" s="101"/>
      <c r="E73" s="101"/>
      <c r="F73" s="101"/>
      <c r="G73" s="101"/>
      <c r="H73" s="101"/>
      <c r="I73" s="101"/>
      <c r="J73" s="101"/>
      <c r="K73" s="101"/>
      <c r="L73" s="101"/>
      <c r="M73" s="101"/>
      <c r="N73" s="101"/>
      <c r="O73" s="101"/>
      <c r="P73" s="101"/>
      <c r="Q73" s="101"/>
      <c r="R73" s="101"/>
      <c r="S73" s="68"/>
      <c r="Z73" s="457" t="s">
        <v>265</v>
      </c>
      <c r="AA73" s="457" t="s">
        <v>265</v>
      </c>
      <c r="AB73" s="457" t="s">
        <v>266</v>
      </c>
      <c r="AC73" s="457" t="s">
        <v>266</v>
      </c>
      <c r="AD73" s="457" t="s">
        <v>266</v>
      </c>
      <c r="AE73" s="101"/>
    </row>
    <row r="74" spans="1:31" s="67" customFormat="1" ht="14.25" customHeight="1" hidden="1">
      <c r="A74" s="101"/>
      <c r="B74" s="101"/>
      <c r="C74" s="101"/>
      <c r="D74" s="101"/>
      <c r="E74" s="101"/>
      <c r="F74" s="101"/>
      <c r="G74" s="101"/>
      <c r="H74" s="101"/>
      <c r="I74" s="101"/>
      <c r="J74" s="101"/>
      <c r="K74" s="101"/>
      <c r="L74" s="101"/>
      <c r="M74" s="101"/>
      <c r="N74" s="101"/>
      <c r="O74" s="101"/>
      <c r="P74" s="101"/>
      <c r="Q74" s="101"/>
      <c r="R74" s="101"/>
      <c r="S74" s="68"/>
      <c r="Y74" s="283" t="s">
        <v>262</v>
      </c>
      <c r="Z74" s="458">
        <f>IF(AG24=11,Z70,IF(AG24=12,AA70,IF(AG24=21,AB70,IF(AG24=22,AC70,IF(AG24=23,AD70,0)))))*10^3</f>
        <v>0.003937229079433527</v>
      </c>
      <c r="AA74" s="71"/>
      <c r="AB74" s="71"/>
      <c r="AC74" s="71"/>
      <c r="AD74" s="71"/>
      <c r="AE74" s="71"/>
    </row>
    <row r="75" spans="1:31" s="67" customFormat="1" ht="14.25" customHeight="1">
      <c r="A75" s="101"/>
      <c r="B75" s="101"/>
      <c r="C75" s="101"/>
      <c r="D75" s="101"/>
      <c r="E75" s="101"/>
      <c r="F75" s="101"/>
      <c r="G75" s="101"/>
      <c r="H75" s="101"/>
      <c r="I75" s="101"/>
      <c r="J75" s="101"/>
      <c r="K75" s="101"/>
      <c r="L75" s="101"/>
      <c r="M75" s="101"/>
      <c r="N75" s="101"/>
      <c r="O75" s="101"/>
      <c r="P75" s="101"/>
      <c r="Q75" s="459"/>
      <c r="R75" s="459"/>
      <c r="S75" s="459"/>
      <c r="Y75" s="71"/>
      <c r="Z75" s="71"/>
      <c r="AA75" s="71"/>
      <c r="AB75" s="71"/>
      <c r="AC75" s="71"/>
      <c r="AD75" s="71"/>
      <c r="AE75" s="71"/>
    </row>
    <row r="76" spans="1:31" s="67" customFormat="1" ht="14.25" customHeight="1">
      <c r="A76" s="101"/>
      <c r="B76" s="101"/>
      <c r="C76" s="101"/>
      <c r="D76" s="101"/>
      <c r="E76" s="101"/>
      <c r="F76" s="101"/>
      <c r="G76" s="101"/>
      <c r="H76" s="101"/>
      <c r="I76" s="101"/>
      <c r="J76" s="101"/>
      <c r="K76" s="101"/>
      <c r="L76" s="101"/>
      <c r="M76" s="101"/>
      <c r="N76" s="101"/>
      <c r="O76" s="101"/>
      <c r="P76" s="101"/>
      <c r="Z76" s="451" t="str">
        <f>0!B59</f>
        <v>İşletme</v>
      </c>
      <c r="AA76" s="71"/>
      <c r="AB76" s="71"/>
      <c r="AC76" s="71"/>
      <c r="AD76" s="71"/>
      <c r="AE76" s="71"/>
    </row>
    <row r="77" spans="1:31" s="67" customFormat="1" ht="14.25" customHeight="1">
      <c r="A77" s="101"/>
      <c r="B77" s="101"/>
      <c r="C77" s="101"/>
      <c r="D77" s="101"/>
      <c r="E77" s="101"/>
      <c r="F77" s="101"/>
      <c r="G77" s="101"/>
      <c r="H77" s="101"/>
      <c r="I77" s="101"/>
      <c r="J77" s="101"/>
      <c r="K77" s="101"/>
      <c r="L77" s="101"/>
      <c r="M77" s="101"/>
      <c r="N77" s="101"/>
      <c r="O77" s="101"/>
      <c r="P77" s="101"/>
      <c r="Y77" s="283" t="s">
        <v>172</v>
      </c>
      <c r="Z77" s="285">
        <f>$C$22/C25/$K$26</f>
        <v>2.15076913345498E-07</v>
      </c>
      <c r="AA77" s="71"/>
      <c r="AB77" s="71"/>
      <c r="AC77" s="71"/>
      <c r="AD77" s="71"/>
      <c r="AE77" s="71"/>
    </row>
    <row r="78" spans="24:31" ht="14.25" customHeight="1">
      <c r="X78" s="115"/>
      <c r="Y78" s="283" t="s">
        <v>173</v>
      </c>
      <c r="Z78" s="285">
        <f>IF($D$22&gt;0,$D$22/D25/$K$26,"")</f>
        <v>5.086739696584E-07</v>
      </c>
      <c r="AB78" s="67"/>
      <c r="AC78" s="113">
        <v>1</v>
      </c>
      <c r="AD78" s="113">
        <v>2</v>
      </c>
      <c r="AE78" s="113">
        <v>3</v>
      </c>
    </row>
    <row r="79" spans="1:31" ht="14.25" customHeight="1">
      <c r="A79" s="101"/>
      <c r="B79" s="101"/>
      <c r="C79" s="101"/>
      <c r="D79" s="101"/>
      <c r="E79" s="101"/>
      <c r="F79" s="101"/>
      <c r="G79" s="101"/>
      <c r="H79" s="101"/>
      <c r="I79" s="101"/>
      <c r="J79" s="101"/>
      <c r="K79" s="101"/>
      <c r="L79" s="101"/>
      <c r="X79" s="115"/>
      <c r="Y79" s="283" t="s">
        <v>174</v>
      </c>
      <c r="Z79" s="285">
        <f>IF($E$22&lt;=0,"",$E$22/E25/$K$26)</f>
      </c>
      <c r="AB79" s="288" t="s">
        <v>176</v>
      </c>
      <c r="AC79" s="460">
        <f>K29*Z80/(Z80+Z74)</f>
        <v>0.07763934717983832</v>
      </c>
      <c r="AD79" s="460">
        <f>K29*Z80/(Z81+Z74)</f>
        <v>0.07763517510345846</v>
      </c>
      <c r="AE79" s="460">
        <f>K29*Z82/(Z81+Z74)</f>
        <v>0.08222419538655742</v>
      </c>
    </row>
    <row r="80" spans="1:29" ht="14.25" customHeight="1">
      <c r="A80" s="101"/>
      <c r="B80" s="101"/>
      <c r="C80" s="101"/>
      <c r="D80" s="101"/>
      <c r="E80" s="101"/>
      <c r="F80" s="101"/>
      <c r="G80" s="101"/>
      <c r="H80" s="101"/>
      <c r="I80" s="101"/>
      <c r="J80" s="101"/>
      <c r="K80" s="101"/>
      <c r="L80" s="101"/>
      <c r="X80" s="115"/>
      <c r="Y80" s="461" t="s">
        <v>267</v>
      </c>
      <c r="Z80" s="450">
        <f>SUM(Z77:Z79)*10^3</f>
        <v>0.000723750883003898</v>
      </c>
      <c r="AB80" s="462" t="s">
        <v>268</v>
      </c>
      <c r="AC80" s="458">
        <f>IF(AG25=1,AC79,IF(AG25=2,AD79,IF(AG25=3,AE79,0)))</f>
        <v>0.08222419538655742</v>
      </c>
    </row>
    <row r="81" spans="1:26" ht="14.25" customHeight="1">
      <c r="A81" s="101"/>
      <c r="B81" s="101"/>
      <c r="C81" s="101"/>
      <c r="D81" s="101"/>
      <c r="E81" s="101"/>
      <c r="F81" s="101"/>
      <c r="G81" s="101"/>
      <c r="H81" s="101"/>
      <c r="I81" s="101"/>
      <c r="J81" s="101"/>
      <c r="K81" s="101"/>
      <c r="L81" s="101"/>
      <c r="X81" s="115"/>
      <c r="Y81" s="463" t="s">
        <v>269</v>
      </c>
      <c r="Z81" s="70">
        <f>Z80*(1+AE38^2*K26/Z34)</f>
        <v>0.0007240013617898645</v>
      </c>
    </row>
    <row r="82" spans="24:31" ht="14.25" customHeight="1">
      <c r="X82" s="115"/>
      <c r="Y82" s="463" t="s">
        <v>270</v>
      </c>
      <c r="Z82" s="70">
        <f>Z80*(1+AE34*AE38*K26/Z34)</f>
        <v>0.0007665318450818429</v>
      </c>
      <c r="AB82" s="67"/>
      <c r="AC82" s="464">
        <f>Q26</f>
        <v>456.861986391953</v>
      </c>
      <c r="AD82" s="464">
        <f>AC82+AD83</f>
        <v>465.39847786057715</v>
      </c>
      <c r="AE82" s="464">
        <f>AC82+AE83</f>
        <v>465.39847786057715</v>
      </c>
    </row>
    <row r="83" spans="1:31" ht="14.25" customHeight="1">
      <c r="A83" s="101"/>
      <c r="B83" s="101"/>
      <c r="C83" s="101"/>
      <c r="D83" s="101"/>
      <c r="E83" s="101"/>
      <c r="F83" s="101"/>
      <c r="G83" s="101"/>
      <c r="H83" s="101"/>
      <c r="I83" s="101"/>
      <c r="J83" s="67"/>
      <c r="X83" s="115"/>
      <c r="Y83" s="68"/>
      <c r="Z83" s="115"/>
      <c r="AC83" s="464">
        <v>0</v>
      </c>
      <c r="AD83" s="464">
        <f>E5*10^3*AE34*Z37/Z38</f>
        <v>8.53649146862412</v>
      </c>
      <c r="AE83" s="464">
        <f>E5*10^3*AE34*Z37/Z38</f>
        <v>8.53649146862412</v>
      </c>
    </row>
    <row r="84" spans="1:31" ht="14.25" customHeight="1">
      <c r="A84" s="101"/>
      <c r="B84" s="101"/>
      <c r="C84" s="101"/>
      <c r="D84" s="101"/>
      <c r="E84" s="101"/>
      <c r="F84" s="101"/>
      <c r="G84" s="101"/>
      <c r="H84" s="101"/>
      <c r="I84" s="101"/>
      <c r="J84" s="67"/>
      <c r="X84" s="115"/>
      <c r="Y84" s="283" t="s">
        <v>179</v>
      </c>
      <c r="Z84" s="67">
        <f>0.4*E28/E17/Z31</f>
        <v>1.205719265847692E-08</v>
      </c>
      <c r="AB84" s="288" t="s">
        <v>271</v>
      </c>
      <c r="AC84" s="465">
        <f>IF(AG25=1,AC82,IF(AG25=2,AD82,IF(AG25=3,AE82,0)))</f>
        <v>465.39847786057715</v>
      </c>
      <c r="AD84" s="113"/>
      <c r="AE84" s="113"/>
    </row>
    <row r="85" spans="1:31" ht="14.25" customHeight="1">
      <c r="A85" s="101"/>
      <c r="B85" s="101"/>
      <c r="C85" s="101"/>
      <c r="D85" s="101"/>
      <c r="E85" s="101"/>
      <c r="F85" s="101"/>
      <c r="G85" s="101"/>
      <c r="H85" s="101"/>
      <c r="I85" s="101"/>
      <c r="J85" s="67"/>
      <c r="X85" s="115"/>
      <c r="Y85" s="283" t="s">
        <v>272</v>
      </c>
      <c r="Z85" s="67">
        <f>K5/$E$17/Z31</f>
        <v>1.620185263482836E-07</v>
      </c>
      <c r="AB85" s="115" t="s">
        <v>196</v>
      </c>
      <c r="AC85" s="113"/>
      <c r="AD85" s="464">
        <f>E5*AE34</f>
        <v>283.608</v>
      </c>
      <c r="AE85" s="113"/>
    </row>
    <row r="86" spans="24:26" ht="14.25" customHeight="1">
      <c r="X86" s="115"/>
      <c r="Y86" s="283" t="s">
        <v>273</v>
      </c>
      <c r="Z86" s="67">
        <f>K6/$E$17/Z32</f>
        <v>5.133299040613886E-08</v>
      </c>
    </row>
    <row r="87" spans="24:26" ht="14.25" customHeight="1">
      <c r="X87" s="115"/>
      <c r="Y87" s="283" t="s">
        <v>274</v>
      </c>
      <c r="Z87" s="67">
        <f>0.5*E28/E17/Z32</f>
        <v>2.9333137374936496E-08</v>
      </c>
    </row>
    <row r="88" spans="24:26" ht="14.25" customHeight="1">
      <c r="X88" s="115"/>
      <c r="Y88" s="283" t="s">
        <v>274</v>
      </c>
      <c r="Z88" s="67">
        <f>0.4*E28/E17/Z31</f>
        <v>1.205719265847692E-08</v>
      </c>
    </row>
    <row r="89" spans="24:26" ht="14.25" customHeight="1">
      <c r="X89" s="115"/>
      <c r="Y89" s="466" t="s">
        <v>275</v>
      </c>
      <c r="Z89" s="467">
        <f>SUM(Z84:Z88)</f>
        <v>2.6679903944631277E-07</v>
      </c>
    </row>
    <row r="90" ht="14.25" customHeight="1">
      <c r="X90" s="115"/>
    </row>
    <row r="91" ht="14.25" customHeight="1">
      <c r="X91" s="115"/>
    </row>
    <row r="92" spans="22:23" ht="14.25" customHeight="1">
      <c r="V92" s="68"/>
      <c r="W92" s="115"/>
    </row>
    <row r="93" ht="14.25" customHeight="1"/>
    <row r="94" ht="14.25" customHeight="1"/>
    <row r="95" ht="14.25" customHeight="1"/>
    <row r="96" ht="14.25" customHeight="1"/>
    <row r="97" ht="14.25" customHeight="1"/>
    <row r="98" ht="14.25" customHeight="1">
      <c r="M98" s="101"/>
    </row>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sheetData>
  <sheetProtection password="EF77" sheet="1" objects="1" scenarios="1"/>
  <mergeCells count="25">
    <mergeCell ref="S1:V1"/>
    <mergeCell ref="C2:J2"/>
    <mergeCell ref="D4:E4"/>
    <mergeCell ref="F5:F16"/>
    <mergeCell ref="A7:A11"/>
    <mergeCell ref="D12:E12"/>
    <mergeCell ref="L14:L17"/>
    <mergeCell ref="L18:L22"/>
    <mergeCell ref="D19:E19"/>
    <mergeCell ref="A20:A23"/>
    <mergeCell ref="F20:F35"/>
    <mergeCell ref="AE24:AF24"/>
    <mergeCell ref="AE25:AF25"/>
    <mergeCell ref="L26:L29"/>
    <mergeCell ref="A28:A35"/>
    <mergeCell ref="L30:L33"/>
    <mergeCell ref="R30:R33"/>
    <mergeCell ref="A37:A38"/>
    <mergeCell ref="A40:A41"/>
    <mergeCell ref="R20:R23"/>
    <mergeCell ref="A24:A26"/>
    <mergeCell ref="N42:T43"/>
    <mergeCell ref="C44:K44"/>
    <mergeCell ref="AG30:AG31"/>
    <mergeCell ref="L34:L38"/>
  </mergeCells>
  <printOptions horizontalCentered="1" verticalCentered="1"/>
  <pageMargins left="0.27569444444444446" right="0.27569444444444446" top="0.5902777777777778" bottom="0.5902777777777777" header="0.5118055555555555" footer="0.5118055555555555"/>
  <pageSetup horizontalDpi="300" verticalDpi="300" orientation="landscape" paperSize="9" scale="79"/>
  <headerFooter alignWithMargins="0">
    <oddFooter>&amp;L&amp;D / &amp;F / &amp;A&amp;R&amp;P von &amp;N</oddFooter>
  </headerFooter>
  <legacyDrawing r:id="rId3"/>
  <oleObjects>
    <oleObject progId="" shapeId="120514742" r:id="rId1"/>
    <oleObject progId="" shapeId="120514868" r:id="rId2"/>
  </oleObjects>
</worksheet>
</file>

<file path=xl/worksheets/sheet6.xml><?xml version="1.0" encoding="utf-8"?>
<worksheet xmlns="http://schemas.openxmlformats.org/spreadsheetml/2006/main" xmlns:r="http://schemas.openxmlformats.org/officeDocument/2006/relationships">
  <dimension ref="A1:AE88"/>
  <sheetViews>
    <sheetView showGridLines="0" showRowColHeaders="0" zoomScale="85" zoomScaleNormal="85" workbookViewId="0" topLeftCell="A1">
      <selection activeCell="F78" sqref="F78"/>
    </sheetView>
  </sheetViews>
  <sheetFormatPr defaultColWidth="11.421875" defaultRowHeight="12.75"/>
  <cols>
    <col min="1" max="1" width="4.00390625" style="67" customWidth="1"/>
    <col min="2" max="5" width="10.7109375" style="67" customWidth="1"/>
    <col min="6" max="6" width="4.421875" style="67" customWidth="1"/>
    <col min="7" max="7" width="16.7109375" style="67" customWidth="1"/>
    <col min="8" max="10" width="6.7109375" style="67" customWidth="1"/>
    <col min="11" max="11" width="10.7109375" style="67" customWidth="1"/>
    <col min="12" max="13" width="4.421875" style="67" customWidth="1"/>
    <col min="14" max="14" width="20.7109375" style="67" customWidth="1"/>
    <col min="15" max="15" width="7.7109375" style="67" customWidth="1"/>
    <col min="16" max="16" width="10.7109375" style="67" customWidth="1"/>
    <col min="17" max="17" width="3.28125" style="67" customWidth="1"/>
    <col min="18" max="18" width="14.7109375" style="67" customWidth="1"/>
    <col min="19" max="19" width="9.7109375" style="67" customWidth="1"/>
    <col min="20" max="34" width="0" style="67" hidden="1" customWidth="1"/>
    <col min="35" max="35" width="2.57421875" style="67" customWidth="1"/>
    <col min="36" max="37" width="2.7109375" style="67" customWidth="1"/>
    <col min="38" max="16384" width="11.421875" style="67" customWidth="1"/>
  </cols>
  <sheetData>
    <row r="1" spans="2:25" ht="14.25" customHeight="1">
      <c r="B1" s="92" t="str">
        <f>Info!K22</f>
        <v>4. Yük ve boyuna ısı etkisindeki ön germeli şaft cıvatalarının detaylı hesabı</v>
      </c>
      <c r="C1" s="282"/>
      <c r="D1" s="68"/>
      <c r="E1" s="71"/>
      <c r="F1" s="71"/>
      <c r="G1" s="71"/>
      <c r="H1" s="71"/>
      <c r="I1" s="71"/>
      <c r="J1" s="71"/>
      <c r="P1" s="115" t="str">
        <f>Info!N11</f>
        <v>Copyright : M. G. Kutay , Ver 2013.01</v>
      </c>
      <c r="S1" s="468" t="str">
        <f>Info!B11</f>
        <v>www.guven-kutay.ch</v>
      </c>
      <c r="V1" s="113"/>
      <c r="W1" s="113"/>
      <c r="X1" s="113"/>
      <c r="Y1" s="101"/>
    </row>
    <row r="2" spans="2:23" ht="14.25" customHeight="1">
      <c r="B2" s="115" t="str">
        <f>0!B156</f>
        <v>Proje :</v>
      </c>
      <c r="C2" s="752">
        <v>1</v>
      </c>
      <c r="D2" s="752"/>
      <c r="E2" s="752"/>
      <c r="F2" s="752"/>
      <c r="G2" s="752"/>
      <c r="H2" s="752"/>
      <c r="I2" s="752"/>
      <c r="J2" s="752"/>
      <c r="Q2" s="62"/>
      <c r="R2" s="62"/>
      <c r="T2" s="71"/>
      <c r="U2" s="71"/>
      <c r="V2" s="71"/>
      <c r="W2" s="71"/>
    </row>
    <row r="3" spans="13:26" ht="14.25" customHeight="1">
      <c r="M3" s="118">
        <f>F4+1</f>
        <v>8</v>
      </c>
      <c r="N3" s="199" t="str">
        <f>0!B130</f>
        <v>Kontroller</v>
      </c>
      <c r="Q3" s="62"/>
      <c r="R3" s="62"/>
      <c r="T3" s="71"/>
      <c r="U3" s="71"/>
      <c r="V3" s="71"/>
      <c r="W3" s="71"/>
      <c r="X3" s="158" t="str">
        <f>5!Z3</f>
        <v>Bölüm dairesi çapı</v>
      </c>
      <c r="Y3" s="414" t="s">
        <v>129</v>
      </c>
      <c r="Z3" s="469">
        <f>E26-0.64952*E27</f>
        <v>18.3762</v>
      </c>
    </row>
    <row r="4" spans="1:26" ht="14.25" customHeight="1">
      <c r="A4" s="118">
        <v>1</v>
      </c>
      <c r="B4" s="62" t="str">
        <f>0!B60</f>
        <v>İşletme değerleri :</v>
      </c>
      <c r="F4" s="118">
        <f>A38+1</f>
        <v>7</v>
      </c>
      <c r="G4" s="62" t="str">
        <f>0!B159</f>
        <v>Hesap için gereken diğer değerler :</v>
      </c>
      <c r="H4" s="62"/>
      <c r="I4" s="62"/>
      <c r="K4" s="101"/>
      <c r="L4" s="101"/>
      <c r="M4" s="205">
        <f>M5+1</f>
        <v>1</v>
      </c>
      <c r="N4" s="63" t="str">
        <f>0!B193</f>
        <v>Montajda bileşik gerilim</v>
      </c>
      <c r="U4" s="71"/>
      <c r="V4" s="71"/>
      <c r="W4" s="71"/>
      <c r="X4" s="158" t="str">
        <f>5!Z4</f>
        <v>Helis açısı</v>
      </c>
      <c r="Y4" s="237" t="s">
        <v>130</v>
      </c>
      <c r="Z4" s="307">
        <f>180*(ATAN(E27/PI()/Z3))/PI()</f>
        <v>2.4796238420945653</v>
      </c>
    </row>
    <row r="5" spans="2:26" ht="14.25" customHeight="1">
      <c r="B5" s="120" t="str">
        <f>0!B61</f>
        <v>İşletme kuvveti</v>
      </c>
      <c r="C5" s="121"/>
      <c r="D5" s="122" t="s">
        <v>87</v>
      </c>
      <c r="E5" s="123">
        <v>31.8</v>
      </c>
      <c r="F5" s="71"/>
      <c r="G5" s="413" t="str">
        <f>0!B120</f>
        <v>En küçük alan</v>
      </c>
      <c r="H5" s="470"/>
      <c r="I5" s="470"/>
      <c r="J5" s="471" t="s">
        <v>276</v>
      </c>
      <c r="K5" s="472">
        <f>D34^2/4*PI()</f>
        <v>181.45839167134645</v>
      </c>
      <c r="L5" s="473"/>
      <c r="N5" s="328" t="str">
        <f>3!N18</f>
        <v>Vidanın momenti</v>
      </c>
      <c r="O5" s="474" t="s">
        <v>115</v>
      </c>
      <c r="P5" s="475">
        <f>K32*Z3/2*TAN((Z4+E39)*PI()/180)</f>
        <v>82.95635206508662</v>
      </c>
      <c r="X5" s="158" t="str">
        <f>5!Z5</f>
        <v>Şaft çapı</v>
      </c>
      <c r="Y5" s="252" t="s">
        <v>143</v>
      </c>
      <c r="Z5" s="311">
        <f>E26</f>
        <v>20</v>
      </c>
    </row>
    <row r="6" spans="2:26" ht="14.25" customHeight="1">
      <c r="B6" s="129"/>
      <c r="C6" s="130"/>
      <c r="D6" s="131" t="s">
        <v>88</v>
      </c>
      <c r="E6" s="132">
        <v>0</v>
      </c>
      <c r="F6" s="71"/>
      <c r="G6" s="183" t="str">
        <f>0!B166</f>
        <v>Şaft alanı</v>
      </c>
      <c r="H6" s="476"/>
      <c r="I6" s="476"/>
      <c r="J6" s="213" t="s">
        <v>146</v>
      </c>
      <c r="K6" s="477">
        <f>D31^2/4*PI()</f>
        <v>314.1592653589793</v>
      </c>
      <c r="L6" s="473"/>
      <c r="N6" s="478" t="str">
        <f>3!N19</f>
        <v>Torsiyon gerilimi</v>
      </c>
      <c r="O6" s="197" t="s">
        <v>119</v>
      </c>
      <c r="P6" s="219">
        <f>P5/K11*10^3</f>
        <v>120.30647226299476</v>
      </c>
      <c r="X6" s="158" t="str">
        <f>5!Z6</f>
        <v>Şaft alanı</v>
      </c>
      <c r="Y6" s="213" t="s">
        <v>146</v>
      </c>
      <c r="Z6" s="222">
        <f>PI()*K8^2/4</f>
        <v>225.18980318056623</v>
      </c>
    </row>
    <row r="7" spans="2:26" ht="14.25" customHeight="1">
      <c r="B7" s="136" t="str">
        <f>0!B158</f>
        <v>Enine kuvvet</v>
      </c>
      <c r="C7" s="476"/>
      <c r="D7" s="131" t="s">
        <v>90</v>
      </c>
      <c r="E7" s="132"/>
      <c r="F7" s="71"/>
      <c r="G7" s="183" t="str">
        <f>0!B196</f>
        <v>Gerilim alanı</v>
      </c>
      <c r="H7" s="476"/>
      <c r="I7" s="476"/>
      <c r="J7" s="479" t="s">
        <v>277</v>
      </c>
      <c r="K7" s="477">
        <f>D34^2/4*PI()</f>
        <v>181.45839167134645</v>
      </c>
      <c r="L7" s="473"/>
      <c r="N7" s="478" t="str">
        <f>3!N20</f>
        <v>Çekme gerilimi</v>
      </c>
      <c r="O7" s="193" t="s">
        <v>122</v>
      </c>
      <c r="P7" s="219">
        <f>K32/K5*10^3</f>
        <v>303.09978774426054</v>
      </c>
      <c r="Q7" s="101"/>
      <c r="X7" s="158" t="str">
        <f>5!Z7</f>
        <v>Gerilim çapı</v>
      </c>
      <c r="Y7" s="213" t="s">
        <v>152</v>
      </c>
      <c r="Z7" s="315">
        <f>(Z3+K8)/2</f>
        <v>17.654512500000003</v>
      </c>
    </row>
    <row r="8" spans="1:17" ht="14.25" customHeight="1">
      <c r="A8" s="480"/>
      <c r="B8" s="136" t="str">
        <f>0!B161</f>
        <v>Sürtünme katsayısı</v>
      </c>
      <c r="C8" s="476"/>
      <c r="D8" s="142" t="s">
        <v>92</v>
      </c>
      <c r="E8" s="143"/>
      <c r="F8" s="71"/>
      <c r="G8" s="162" t="str">
        <f>0!B117</f>
        <v>Diş dibi çapı</v>
      </c>
      <c r="H8" s="164"/>
      <c r="I8" s="164"/>
      <c r="J8" s="213" t="s">
        <v>136</v>
      </c>
      <c r="K8" s="304">
        <f>E26-1.22687*E27</f>
        <v>16.932825</v>
      </c>
      <c r="L8" s="481"/>
      <c r="N8" s="482" t="str">
        <f>3!N21</f>
        <v>Bileşik gerilim</v>
      </c>
      <c r="O8" s="483" t="s">
        <v>125</v>
      </c>
      <c r="P8" s="227">
        <f>(P7^2+3*P6^2)^(0.5)</f>
        <v>367.8184649194708</v>
      </c>
      <c r="Q8" s="101"/>
    </row>
    <row r="9" spans="1:17" ht="14.25" customHeight="1">
      <c r="A9" s="480"/>
      <c r="B9" s="147" t="str">
        <f>0!B47</f>
        <v>Şartnameden</v>
      </c>
      <c r="C9" s="484"/>
      <c r="D9" s="149" t="s">
        <v>278</v>
      </c>
      <c r="E9" s="150">
        <v>0.1</v>
      </c>
      <c r="G9" s="162" t="str">
        <f>0!B118</f>
        <v>Dişdibi alanı</v>
      </c>
      <c r="H9" s="164"/>
      <c r="I9" s="164"/>
      <c r="J9" s="213" t="s">
        <v>139</v>
      </c>
      <c r="K9" s="222">
        <f>E26^2*PI()/4</f>
        <v>314.1592653589793</v>
      </c>
      <c r="L9" s="786" t="s">
        <v>103</v>
      </c>
      <c r="M9" s="205">
        <f>M4+1</f>
        <v>2</v>
      </c>
      <c r="N9" s="70" t="str">
        <f>0!B101</f>
        <v>Montajda temas yüzeyi bası gerilimi</v>
      </c>
      <c r="P9" s="101"/>
      <c r="Q9" s="761" t="s">
        <v>77</v>
      </c>
    </row>
    <row r="10" spans="1:17" ht="14.25" customHeight="1">
      <c r="A10" s="118">
        <f>A4+1</f>
        <v>2</v>
      </c>
      <c r="B10" s="152" t="str">
        <f>0!B73</f>
        <v>Cıvatanın değerleri :</v>
      </c>
      <c r="D10" s="759" t="s">
        <v>96</v>
      </c>
      <c r="E10" s="759"/>
      <c r="G10" s="200" t="str">
        <f>0!B67</f>
        <v>Eğilme Karşıkoyma-Mom.</v>
      </c>
      <c r="H10" s="163"/>
      <c r="I10" s="163"/>
      <c r="J10" s="213" t="s">
        <v>205</v>
      </c>
      <c r="K10" s="485">
        <f>PI()*D34^3/32</f>
        <v>344.7709441755582</v>
      </c>
      <c r="L10" s="786"/>
      <c r="N10" s="235" t="str">
        <f>3!N23</f>
        <v>Bası alanı</v>
      </c>
      <c r="O10" s="405" t="s">
        <v>131</v>
      </c>
      <c r="P10" s="236">
        <v>244</v>
      </c>
      <c r="Q10" s="761"/>
    </row>
    <row r="11" spans="2:26" ht="14.25" customHeight="1">
      <c r="B11" s="158" t="str">
        <f>0!B222</f>
        <v>Malzeme</v>
      </c>
      <c r="C11" s="312" t="s">
        <v>279</v>
      </c>
      <c r="D11" s="486" t="str">
        <f>0!B145</f>
        <v>Montaj</v>
      </c>
      <c r="E11" s="314" t="str">
        <f>0!B59</f>
        <v>İşletme</v>
      </c>
      <c r="G11" s="200" t="str">
        <f>0!B223</f>
        <v>Tor. Karşıkoyma Momenti</v>
      </c>
      <c r="H11" s="163"/>
      <c r="I11" s="163"/>
      <c r="J11" s="213"/>
      <c r="K11" s="318">
        <f>D34^3/16*PI()</f>
        <v>689.5418883511164</v>
      </c>
      <c r="L11" s="786"/>
      <c r="N11" s="144" t="str">
        <f>3!N24</f>
        <v>Yüzey basıncı</v>
      </c>
      <c r="O11" s="270" t="s">
        <v>135</v>
      </c>
      <c r="P11" s="227">
        <f>K32/P10*10^3</f>
        <v>225.40983606557378</v>
      </c>
      <c r="Q11" s="761"/>
      <c r="X11" s="101"/>
      <c r="Y11" s="101"/>
      <c r="Z11" s="101"/>
    </row>
    <row r="12" spans="2:26" ht="14.25" customHeight="1">
      <c r="B12" s="162" t="str">
        <f>0!B204</f>
        <v>Isı  °C</v>
      </c>
      <c r="C12" s="164"/>
      <c r="D12" s="316">
        <v>20</v>
      </c>
      <c r="E12" s="165">
        <v>100</v>
      </c>
      <c r="G12" s="487" t="str">
        <f>3!G17</f>
        <v>Sıkıştırma faktörü</v>
      </c>
      <c r="H12" s="321"/>
      <c r="I12" s="321"/>
      <c r="J12" s="322" t="s">
        <v>102</v>
      </c>
      <c r="K12" s="230">
        <v>1</v>
      </c>
      <c r="L12" s="786"/>
      <c r="M12" s="205">
        <f>M9+1</f>
        <v>3</v>
      </c>
      <c r="N12" s="70" t="str">
        <f>0!B160</f>
        <v>İşletmede bileşik gerilim</v>
      </c>
      <c r="O12" s="101"/>
      <c r="P12" s="101"/>
      <c r="Q12" s="761"/>
      <c r="X12" s="101"/>
      <c r="Y12" s="101"/>
      <c r="Z12" s="101"/>
    </row>
    <row r="13" spans="2:27" ht="14.25" customHeight="1">
      <c r="B13" s="138" t="s">
        <v>280</v>
      </c>
      <c r="C13" s="164" t="s">
        <v>100</v>
      </c>
      <c r="D13" s="317">
        <v>1200</v>
      </c>
      <c r="E13" s="171">
        <v>1190</v>
      </c>
      <c r="G13" s="488" t="str">
        <f>3!G18</f>
        <v>max. Sıkma momenti</v>
      </c>
      <c r="H13" s="489"/>
      <c r="I13" s="489" t="s">
        <v>281</v>
      </c>
      <c r="J13" s="490" t="str">
        <f>A42</f>
        <v>*)2</v>
      </c>
      <c r="K13" s="188">
        <f>AA20*(0.159*E27+D39*0.577*Z3+(E29+E30)/4*D40)</f>
        <v>444.8867466812624</v>
      </c>
      <c r="L13" s="491"/>
      <c r="N13" s="492" t="str">
        <f>3!N26</f>
        <v>Çekme gerilimi</v>
      </c>
      <c r="O13" s="493" t="s">
        <v>282</v>
      </c>
      <c r="P13" s="251">
        <f>K37/K5*10^3</f>
        <v>880.2660595663386</v>
      </c>
      <c r="X13" s="101"/>
      <c r="Y13" s="101"/>
      <c r="Z13" s="101"/>
      <c r="AA13" s="101"/>
    </row>
    <row r="14" spans="2:27" ht="14.25" customHeight="1">
      <c r="B14" s="138" t="s">
        <v>283</v>
      </c>
      <c r="C14" s="164" t="s">
        <v>100</v>
      </c>
      <c r="D14" s="317">
        <v>1080</v>
      </c>
      <c r="E14" s="171">
        <v>1020</v>
      </c>
      <c r="G14" s="494"/>
      <c r="H14" s="495"/>
      <c r="I14" s="495"/>
      <c r="J14" s="496"/>
      <c r="K14" s="186">
        <v>176</v>
      </c>
      <c r="L14" s="783" t="s">
        <v>284</v>
      </c>
      <c r="N14" s="497" t="str">
        <f>3!N27</f>
        <v>Bileşik gerilim</v>
      </c>
      <c r="O14" s="483" t="s">
        <v>145</v>
      </c>
      <c r="P14" s="227">
        <f>(P13^2+3*P6^2)^(0.5)</f>
        <v>904.5934321171854</v>
      </c>
      <c r="X14" s="101"/>
      <c r="Y14" s="101"/>
      <c r="Z14" s="101"/>
      <c r="AA14" s="101"/>
    </row>
    <row r="15" spans="2:27" ht="14.25" customHeight="1">
      <c r="B15" s="138" t="s">
        <v>93</v>
      </c>
      <c r="C15" s="164" t="s">
        <v>100</v>
      </c>
      <c r="D15" s="319">
        <v>210000</v>
      </c>
      <c r="E15" s="320">
        <v>207000</v>
      </c>
      <c r="G15" s="498" t="str">
        <f>3!G19</f>
        <v>min. Sıkma momenti</v>
      </c>
      <c r="H15" s="360"/>
      <c r="I15" s="360" t="s">
        <v>105</v>
      </c>
      <c r="J15" s="499"/>
      <c r="K15" s="188">
        <f>K14/K12</f>
        <v>176</v>
      </c>
      <c r="L15" s="783"/>
      <c r="M15" s="205">
        <f>M12+1</f>
        <v>4</v>
      </c>
      <c r="N15" s="63" t="str">
        <f>0!B102</f>
        <v>İşletmede temas yüzeyi bası gerilimi</v>
      </c>
      <c r="X15" s="101"/>
      <c r="Y15" s="101"/>
      <c r="Z15" s="101"/>
      <c r="AA15" s="101"/>
    </row>
    <row r="16" spans="2:27" ht="14.25" customHeight="1">
      <c r="B16" s="324" t="s">
        <v>207</v>
      </c>
      <c r="C16" s="177" t="s">
        <v>208</v>
      </c>
      <c r="D16" s="500"/>
      <c r="E16" s="326">
        <v>1.11E-05</v>
      </c>
      <c r="G16" s="498" t="str">
        <f>3!G20</f>
        <v>Sıkma momenti</v>
      </c>
      <c r="H16" s="360"/>
      <c r="I16" s="360" t="s">
        <v>213</v>
      </c>
      <c r="J16" s="499"/>
      <c r="K16" s="501">
        <f>(K14+K15)/2</f>
        <v>176</v>
      </c>
      <c r="L16" s="783"/>
      <c r="M16" s="68"/>
      <c r="N16" s="259" t="str">
        <f>0!B100</f>
        <v>Yüzey basıncı</v>
      </c>
      <c r="O16" s="502" t="s">
        <v>241</v>
      </c>
      <c r="P16" s="381">
        <f>K37/P10*10^3</f>
        <v>654.6379648023831</v>
      </c>
      <c r="Q16" s="101"/>
      <c r="X16" s="101"/>
      <c r="Y16" s="101"/>
      <c r="Z16" s="101"/>
      <c r="AA16" s="101"/>
    </row>
    <row r="17" spans="1:27" ht="14.25" customHeight="1">
      <c r="A17" s="118">
        <f>A10+1</f>
        <v>3</v>
      </c>
      <c r="B17" s="63" t="str">
        <f>0!B72</f>
        <v>Bağlanan parçaların değerleri :</v>
      </c>
      <c r="C17" s="71"/>
      <c r="D17" s="759" t="s">
        <v>211</v>
      </c>
      <c r="E17" s="759"/>
      <c r="G17" s="498"/>
      <c r="H17" s="218"/>
      <c r="I17" s="218" t="s">
        <v>215</v>
      </c>
      <c r="J17" s="499"/>
      <c r="K17" s="501">
        <f>IF(K14-K16=0,0,K14-K16)</f>
        <v>0</v>
      </c>
      <c r="L17" s="783"/>
      <c r="M17" s="205">
        <f>M15+1</f>
        <v>5</v>
      </c>
      <c r="N17" s="63" t="str">
        <f>0!B51</f>
        <v>İşletmede genlik gerilimi</v>
      </c>
      <c r="Q17" s="761" t="s">
        <v>54</v>
      </c>
      <c r="X17" s="101"/>
      <c r="Y17" s="101"/>
      <c r="Z17" s="101"/>
      <c r="AA17" s="101"/>
    </row>
    <row r="18" spans="2:17" ht="14.25" customHeight="1">
      <c r="B18" s="124" t="str">
        <f>0!B57</f>
        <v>Tanımı :</v>
      </c>
      <c r="C18" s="503" t="str">
        <f>0!B34</f>
        <v>1.Parça  *)1 </v>
      </c>
      <c r="D18" s="126" t="str">
        <f>0!B36</f>
        <v>2. Parça</v>
      </c>
      <c r="E18" s="127" t="str">
        <f>0!B37</f>
        <v>3. Parça</v>
      </c>
      <c r="F18" s="785">
        <f>IF(E34=E28,"",B56)</f>
      </c>
      <c r="G18" s="344" t="s">
        <v>285</v>
      </c>
      <c r="H18" s="345"/>
      <c r="I18" s="345"/>
      <c r="J18" s="504" t="str">
        <f>D11</f>
        <v>Montaj</v>
      </c>
      <c r="K18" s="194">
        <f>Z56*10^3</f>
        <v>0.0032816863321926807</v>
      </c>
      <c r="L18" s="491"/>
      <c r="N18" s="505" t="str">
        <f>3!N31</f>
        <v>Genlik kuvveti</v>
      </c>
      <c r="O18" s="474" t="s">
        <v>154</v>
      </c>
      <c r="P18" s="265">
        <f>0.5*K26*(E5-E6)*10^3</f>
        <v>887.8903332841859</v>
      </c>
      <c r="Q18" s="761"/>
    </row>
    <row r="19" spans="1:27" ht="14.25" customHeight="1">
      <c r="A19" s="776" t="str">
        <f>3!D13</f>
        <v>Montaj</v>
      </c>
      <c r="B19" s="133" t="str">
        <f>0!B222</f>
        <v>Malzeme</v>
      </c>
      <c r="C19" s="134" t="s">
        <v>286</v>
      </c>
      <c r="D19" s="134" t="s">
        <v>286</v>
      </c>
      <c r="E19" s="135"/>
      <c r="F19" s="785"/>
      <c r="G19" s="344" t="s">
        <v>287</v>
      </c>
      <c r="H19" s="345"/>
      <c r="I19" s="345"/>
      <c r="J19" s="506" t="str">
        <f>E11</f>
        <v>İşletme</v>
      </c>
      <c r="K19" s="194">
        <f>Z73*10^3</f>
        <v>0.0033292470036737345</v>
      </c>
      <c r="L19" s="491"/>
      <c r="N19" s="498" t="str">
        <f>3!N32</f>
        <v>Genlik gerilimi</v>
      </c>
      <c r="O19" s="197" t="s">
        <v>157</v>
      </c>
      <c r="P19" s="266">
        <f>P18/K5</f>
        <v>4.893079482883954</v>
      </c>
      <c r="Q19" s="761"/>
      <c r="Y19" s="442" t="s">
        <v>288</v>
      </c>
      <c r="Z19" s="507" t="s">
        <v>289</v>
      </c>
      <c r="AA19" s="508">
        <f>0.9*D14/(1+3*(4/D34*(0.159*E27+0.577*D39*Z3))^2)^(0.5)</f>
        <v>773.4481788334638</v>
      </c>
    </row>
    <row r="20" spans="1:27" ht="14.25" customHeight="1">
      <c r="A20" s="776"/>
      <c r="B20" s="342" t="s">
        <v>91</v>
      </c>
      <c r="C20" s="139">
        <v>20</v>
      </c>
      <c r="D20" s="509">
        <v>110</v>
      </c>
      <c r="E20" s="140"/>
      <c r="F20" s="785"/>
      <c r="G20" s="336" t="str">
        <f>2!G22</f>
        <v>Paraboloid çapı</v>
      </c>
      <c r="H20" s="356"/>
      <c r="I20" s="356" t="s">
        <v>290</v>
      </c>
      <c r="J20" s="496"/>
      <c r="K20" s="204">
        <f>0.57735*E28+E29</f>
        <v>105.05550000000001</v>
      </c>
      <c r="L20" s="491"/>
      <c r="N20" s="497" t="str">
        <f>3!N33</f>
        <v>Genlik mukavemeti</v>
      </c>
      <c r="O20" s="483" t="s">
        <v>161</v>
      </c>
      <c r="P20" s="272">
        <v>40</v>
      </c>
      <c r="Q20" s="761"/>
      <c r="Y20" s="217" t="s">
        <v>235</v>
      </c>
      <c r="Z20" s="332"/>
      <c r="AA20" s="422">
        <f>AA19*K5/10^3</f>
        <v>140.34866257225227</v>
      </c>
    </row>
    <row r="21" spans="1:17" ht="14.25" customHeight="1">
      <c r="A21" s="776"/>
      <c r="B21" s="347" t="s">
        <v>93</v>
      </c>
      <c r="C21" s="348">
        <v>210000</v>
      </c>
      <c r="D21" s="348">
        <v>210000</v>
      </c>
      <c r="E21" s="349"/>
      <c r="F21" s="785"/>
      <c r="G21" s="336" t="str">
        <f>G20</f>
        <v>Paraboloid çapı</v>
      </c>
      <c r="H21" s="360"/>
      <c r="I21" s="360" t="s">
        <v>223</v>
      </c>
      <c r="J21" s="496"/>
      <c r="K21" s="207">
        <v>105</v>
      </c>
      <c r="L21" s="491"/>
      <c r="M21" s="205">
        <f>M17+1</f>
        <v>6</v>
      </c>
      <c r="N21" s="63" t="str">
        <f>0!B107</f>
        <v>İşletmedeki toplam bileşik gerilim</v>
      </c>
      <c r="O21" s="68"/>
      <c r="P21" s="68"/>
      <c r="Q21" s="101"/>
    </row>
    <row r="22" spans="1:16" ht="14.25" customHeight="1">
      <c r="A22" s="780" t="str">
        <f>3!E13</f>
        <v>İşletme</v>
      </c>
      <c r="B22" s="347" t="s">
        <v>219</v>
      </c>
      <c r="C22" s="354">
        <v>350</v>
      </c>
      <c r="D22" s="510">
        <v>380</v>
      </c>
      <c r="E22" s="355"/>
      <c r="F22" s="785"/>
      <c r="G22" s="331" t="str">
        <f>2!G25</f>
        <v>Eşdeğer alan</v>
      </c>
      <c r="H22" s="360"/>
      <c r="I22" s="360" t="s">
        <v>121</v>
      </c>
      <c r="J22" s="511"/>
      <c r="K22" s="512">
        <f>IF(K21&lt;E29,PI()/4*(K21^2-E29^2),IF(K21&lt;E29+E28,PI()/4*(E29^2-E30^2)+PI()/8*E29*(K21-E29)*(((E28*E29/K21^2)^(1/3)+1)^2-1),PI()/4*(E29^2-E30^2)+PI()/8*E29*E28*(((E28*E29/(E29+E28)^2)^(1/3)+1)^2-1)))</f>
        <v>2084.424628881962</v>
      </c>
      <c r="L22" s="491"/>
      <c r="M22" s="68"/>
      <c r="N22" s="513" t="str">
        <f>N13</f>
        <v>Çekme gerilimi</v>
      </c>
      <c r="O22" s="514" t="s">
        <v>291</v>
      </c>
      <c r="P22" s="251">
        <f>P13</f>
        <v>880.2660595663386</v>
      </c>
    </row>
    <row r="23" spans="1:21" ht="14.25" customHeight="1">
      <c r="A23" s="780"/>
      <c r="B23" s="347" t="s">
        <v>222</v>
      </c>
      <c r="C23" s="348">
        <v>149000</v>
      </c>
      <c r="D23" s="348">
        <v>149000</v>
      </c>
      <c r="E23" s="349"/>
      <c r="F23" s="785"/>
      <c r="G23" s="344" t="s">
        <v>292</v>
      </c>
      <c r="H23" s="345"/>
      <c r="I23" s="345"/>
      <c r="J23" s="504" t="str">
        <f>D11</f>
        <v>Montaj</v>
      </c>
      <c r="K23" s="225">
        <f>Z61</f>
        <v>0.00029698728870789745</v>
      </c>
      <c r="L23" s="781" t="s">
        <v>128</v>
      </c>
      <c r="M23" s="68"/>
      <c r="N23" s="372" t="str">
        <f>N14</f>
        <v>Bileşik gerilim</v>
      </c>
      <c r="O23" s="515" t="s">
        <v>293</v>
      </c>
      <c r="P23" s="227">
        <f>(P22^2+3*P6^2)^(0.5)</f>
        <v>904.5934321171854</v>
      </c>
      <c r="U23" s="71"/>
    </row>
    <row r="24" spans="1:16" ht="14.25" customHeight="1">
      <c r="A24" s="780"/>
      <c r="B24" s="362" t="s">
        <v>207</v>
      </c>
      <c r="C24" s="516">
        <v>1.11E-05</v>
      </c>
      <c r="D24" s="517">
        <v>1.11E-05</v>
      </c>
      <c r="E24" s="364"/>
      <c r="F24" s="785"/>
      <c r="G24" s="344" t="s">
        <v>294</v>
      </c>
      <c r="H24" s="345"/>
      <c r="I24" s="345"/>
      <c r="J24" s="506" t="str">
        <f>E11</f>
        <v>İşletme</v>
      </c>
      <c r="K24" s="518">
        <f>Z79</f>
        <v>0.00041857268878294266</v>
      </c>
      <c r="L24" s="781"/>
      <c r="M24" s="205">
        <f>M21+1</f>
        <v>7</v>
      </c>
      <c r="N24" s="63" t="str">
        <f>0!B122</f>
        <v>Sıkıştırma kuvvetleri</v>
      </c>
      <c r="O24" s="70" t="str">
        <f>E11</f>
        <v>İşletme</v>
      </c>
      <c r="P24" s="71"/>
    </row>
    <row r="25" spans="1:29" ht="14.25" customHeight="1">
      <c r="A25" s="118">
        <f>A17+1</f>
        <v>4</v>
      </c>
      <c r="B25" s="62" t="str">
        <f>0!B184</f>
        <v>Cıvata, Vida ve Konstruksiyon değerleri :</v>
      </c>
      <c r="C25" s="187"/>
      <c r="D25" s="101"/>
      <c r="F25" s="785"/>
      <c r="G25" s="519" t="str">
        <f>3!G29</f>
        <v>Kuvvet dağılım faktörü</v>
      </c>
      <c r="H25" s="379"/>
      <c r="I25" s="379" t="s">
        <v>127</v>
      </c>
      <c r="J25" s="520"/>
      <c r="K25" s="230">
        <v>0.5</v>
      </c>
      <c r="L25" s="781"/>
      <c r="N25" s="235" t="str">
        <f>0!B121</f>
        <v>Enine kuvvettem</v>
      </c>
      <c r="O25" s="405" t="s">
        <v>231</v>
      </c>
      <c r="P25" s="406">
        <f>IF(E7&lt;=0,"",E7/E8)</f>
      </c>
      <c r="X25" s="71"/>
      <c r="Y25" s="71"/>
      <c r="AB25" s="115" t="s">
        <v>177</v>
      </c>
      <c r="AC25" s="296" t="e">
        <f>E5*#REF!*Z36/K10*10^3</f>
        <v>#REF!</v>
      </c>
    </row>
    <row r="26" spans="1:30" ht="14.25" customHeight="1">
      <c r="A26" s="782" t="str">
        <f>3!A28</f>
        <v>Tablo 4, 5 ve 7, 8</v>
      </c>
      <c r="B26" s="158" t="str">
        <f>0!B152</f>
        <v>Anma çapı</v>
      </c>
      <c r="C26" s="470"/>
      <c r="D26" s="190" t="s">
        <v>107</v>
      </c>
      <c r="E26" s="377">
        <v>20</v>
      </c>
      <c r="F26" s="785"/>
      <c r="G26" s="487" t="str">
        <f>3!G30</f>
        <v>Kuvvet oranı</v>
      </c>
      <c r="H26" s="224"/>
      <c r="I26" s="224" t="s">
        <v>295</v>
      </c>
      <c r="J26" s="506" t="str">
        <f>E11</f>
        <v>İşletme</v>
      </c>
      <c r="K26" s="518">
        <f>K25*K24/(K19+K24)</f>
        <v>0.055842159326049426</v>
      </c>
      <c r="L26" s="521"/>
      <c r="N26" s="144" t="str">
        <f>0!B124</f>
        <v>Sıkıştırma kuvveti</v>
      </c>
      <c r="O26" s="270" t="s">
        <v>296</v>
      </c>
      <c r="P26" s="522">
        <f>K34*10^3-K36</f>
        <v>127931.66341178145</v>
      </c>
      <c r="Y26" s="71"/>
      <c r="AB26" s="523"/>
      <c r="AC26" s="523"/>
      <c r="AD26" s="523"/>
    </row>
    <row r="27" spans="1:30" ht="14.25" customHeight="1">
      <c r="A27" s="782"/>
      <c r="B27" s="162" t="str">
        <f>0!B200</f>
        <v>Adım veya hatve</v>
      </c>
      <c r="C27" s="476"/>
      <c r="D27" s="195" t="s">
        <v>109</v>
      </c>
      <c r="E27" s="378">
        <v>2.5</v>
      </c>
      <c r="F27" s="785"/>
      <c r="G27" s="487" t="str">
        <f>3!G31</f>
        <v>Oturma değeri</v>
      </c>
      <c r="H27" s="356"/>
      <c r="I27" s="356" t="s">
        <v>133</v>
      </c>
      <c r="J27" s="520"/>
      <c r="K27" s="241">
        <v>0.011</v>
      </c>
      <c r="L27" s="783" t="s">
        <v>134</v>
      </c>
      <c r="R27" s="101"/>
      <c r="S27" s="101"/>
      <c r="T27" s="101"/>
      <c r="Y27" s="71"/>
      <c r="AA27" s="523"/>
      <c r="AB27" s="523"/>
      <c r="AC27" s="523"/>
      <c r="AD27" s="523"/>
    </row>
    <row r="28" spans="1:30" ht="14.25" customHeight="1">
      <c r="A28" s="782"/>
      <c r="B28" s="200" t="str">
        <f>0!B106</f>
        <v>Toplam sıkılan boy</v>
      </c>
      <c r="C28" s="476"/>
      <c r="D28" s="213" t="s">
        <v>117</v>
      </c>
      <c r="E28" s="524">
        <f>SUM(C20:E20)</f>
        <v>130</v>
      </c>
      <c r="F28" s="785"/>
      <c r="G28" s="498" t="str">
        <f>3!G32</f>
        <v>Oturma kuvveti</v>
      </c>
      <c r="H28" s="360"/>
      <c r="I28" s="360" t="s">
        <v>137</v>
      </c>
      <c r="J28" s="525"/>
      <c r="K28" s="526">
        <f>K27*(1/(K18+K23))</f>
        <v>3.0737645187190425</v>
      </c>
      <c r="L28" s="783"/>
      <c r="R28" s="101"/>
      <c r="S28" s="101"/>
      <c r="T28" s="101"/>
      <c r="X28" s="254"/>
      <c r="Y28" s="115" t="s">
        <v>184</v>
      </c>
      <c r="Z28" s="382">
        <f>1000*D23/C23</f>
        <v>1000</v>
      </c>
      <c r="AA28" s="523"/>
      <c r="AB28" s="523"/>
      <c r="AC28" s="523"/>
      <c r="AD28" s="523"/>
    </row>
    <row r="29" spans="1:26" ht="14.25" customHeight="1">
      <c r="A29" s="782"/>
      <c r="B29" s="136" t="str">
        <f>0!B133</f>
        <v>Kafaaltı dış çapı</v>
      </c>
      <c r="C29" s="476"/>
      <c r="D29" s="213" t="s">
        <v>123</v>
      </c>
      <c r="E29" s="394">
        <v>30</v>
      </c>
      <c r="F29" s="785"/>
      <c r="G29" s="527"/>
      <c r="H29" s="528"/>
      <c r="I29" s="528" t="s">
        <v>297</v>
      </c>
      <c r="J29" s="525"/>
      <c r="K29" s="529">
        <f>P65</f>
        <v>0.39738000000000007</v>
      </c>
      <c r="L29" s="783"/>
      <c r="M29" s="118">
        <f>M3+1</f>
        <v>9</v>
      </c>
      <c r="N29" s="63" t="str">
        <f>0!B86</f>
        <v>Sonuçlar</v>
      </c>
      <c r="O29" s="71"/>
      <c r="P29" s="71"/>
      <c r="R29" s="101"/>
      <c r="S29" s="101"/>
      <c r="T29" s="101"/>
      <c r="Y29" s="115" t="s">
        <v>185</v>
      </c>
      <c r="Z29" s="386">
        <f>C20</f>
        <v>20</v>
      </c>
    </row>
    <row r="30" spans="1:30" ht="14.25" customHeight="1">
      <c r="A30" s="782"/>
      <c r="B30" s="200" t="str">
        <f>0!B76</f>
        <v>Geçiş deliği çapı</v>
      </c>
      <c r="C30" s="476"/>
      <c r="D30" s="213" t="s">
        <v>126</v>
      </c>
      <c r="E30" s="394">
        <v>20</v>
      </c>
      <c r="F30" s="785"/>
      <c r="G30" s="498"/>
      <c r="H30" s="218"/>
      <c r="I30" s="218" t="s">
        <v>229</v>
      </c>
      <c r="J30" s="525"/>
      <c r="K30" s="399">
        <f>K29/(K19+K24)*10^3</f>
        <v>106029.64726393211</v>
      </c>
      <c r="L30" s="783"/>
      <c r="M30" s="323">
        <f>AI22+1</f>
        <v>1</v>
      </c>
      <c r="N30" s="62" t="str">
        <f>0!B88</f>
        <v>Montajdaki değerler :</v>
      </c>
      <c r="O30" s="71"/>
      <c r="P30" s="71"/>
      <c r="R30" s="101"/>
      <c r="S30" s="101"/>
      <c r="T30" s="101"/>
      <c r="X30" s="71"/>
      <c r="Y30" s="115" t="s">
        <v>186</v>
      </c>
      <c r="Z30" s="386">
        <f>PI()*E26^4/64</f>
        <v>7853.981633974483</v>
      </c>
      <c r="AD30" s="523"/>
    </row>
    <row r="31" spans="1:30" ht="14.25" customHeight="1">
      <c r="A31" s="782"/>
      <c r="B31" s="183" t="s">
        <v>298</v>
      </c>
      <c r="C31" s="530"/>
      <c r="D31" s="531">
        <v>20</v>
      </c>
      <c r="E31" s="207">
        <v>15</v>
      </c>
      <c r="F31" s="785"/>
      <c r="G31" s="498" t="str">
        <f>3!G35</f>
        <v>Hesap. ön germe kuvveti</v>
      </c>
      <c r="H31" s="360"/>
      <c r="I31" s="360" t="s">
        <v>235</v>
      </c>
      <c r="J31" s="525"/>
      <c r="K31" s="416">
        <f>K14/(0.159*E27+0.577*D39*Z3+(E29+E30)*D40/4)</f>
        <v>55.5228151815761</v>
      </c>
      <c r="L31" s="101"/>
      <c r="M31" s="68"/>
      <c r="N31" s="532" t="s">
        <v>116</v>
      </c>
      <c r="O31" s="533">
        <f>D14/P8</f>
        <v>2.936231056905891</v>
      </c>
      <c r="P31" s="63" t="str">
        <f>IF(O31&lt;1,0!B254,0!B253)</f>
        <v>  Yeterli</v>
      </c>
      <c r="R31" s="101"/>
      <c r="S31" s="101"/>
      <c r="T31" s="101"/>
      <c r="U31" s="68"/>
      <c r="X31" s="101"/>
      <c r="Y31" s="115" t="s">
        <v>187</v>
      </c>
      <c r="Z31" s="386">
        <f>PI()*K8^4/64</f>
        <v>4035.4091895520755</v>
      </c>
      <c r="AD31" s="523"/>
    </row>
    <row r="32" spans="1:30" ht="14.25" customHeight="1">
      <c r="A32" s="782"/>
      <c r="B32" s="183" t="s">
        <v>299</v>
      </c>
      <c r="C32" s="530"/>
      <c r="D32" s="531">
        <v>15.2</v>
      </c>
      <c r="E32" s="207">
        <v>80</v>
      </c>
      <c r="F32" s="785"/>
      <c r="G32" s="498" t="str">
        <f>3!G36</f>
        <v>Alınan ön germe kuvveti</v>
      </c>
      <c r="H32" s="360"/>
      <c r="I32" s="360" t="s">
        <v>300</v>
      </c>
      <c r="J32" s="534" t="str">
        <f>A42</f>
        <v>*)2</v>
      </c>
      <c r="K32" s="409">
        <v>55</v>
      </c>
      <c r="L32" s="784" t="s">
        <v>284</v>
      </c>
      <c r="M32" s="535"/>
      <c r="N32" s="536" t="s">
        <v>132</v>
      </c>
      <c r="O32" s="537">
        <f>E36/P11</f>
        <v>3.1054545454545455</v>
      </c>
      <c r="P32" s="63" t="str">
        <f>IF(O32&lt;1,0!B254,0!B253)</f>
        <v>  Yeterli</v>
      </c>
      <c r="X32" s="101"/>
      <c r="Y32" s="115" t="s">
        <v>188</v>
      </c>
      <c r="Z32" s="386">
        <f>Z88*Z31*E15</f>
        <v>60.927931933908674</v>
      </c>
      <c r="AD32" s="523"/>
    </row>
    <row r="33" spans="1:26" ht="14.25" customHeight="1">
      <c r="A33" s="782"/>
      <c r="B33" s="183" t="s">
        <v>301</v>
      </c>
      <c r="C33" s="530"/>
      <c r="D33" s="538">
        <f>E26-0.64952*E27</f>
        <v>18.3762</v>
      </c>
      <c r="E33" s="204">
        <f>E28-SUM(E31:E32)</f>
        <v>35</v>
      </c>
      <c r="F33" s="785"/>
      <c r="G33" s="498" t="str">
        <f>3!G37</f>
        <v>max. Ön germe kuvveti</v>
      </c>
      <c r="H33" s="360"/>
      <c r="I33" s="360" t="s">
        <v>153</v>
      </c>
      <c r="J33" s="525"/>
      <c r="K33" s="539">
        <f>K32-K28+K30/10^3</f>
        <v>157.95588274521307</v>
      </c>
      <c r="L33" s="784"/>
      <c r="M33" s="323">
        <f>M30+1</f>
        <v>2</v>
      </c>
      <c r="N33" s="62" t="str">
        <f>0!B87</f>
        <v>İşletmedeki değerler :</v>
      </c>
      <c r="O33" s="71"/>
      <c r="P33" s="71"/>
      <c r="Q33" s="101"/>
      <c r="V33" s="101"/>
      <c r="W33" s="101"/>
      <c r="X33" s="101"/>
      <c r="Y33" s="115" t="s">
        <v>189</v>
      </c>
      <c r="Z33" s="382">
        <f>PI()*((E29+Z29)^4-E30^4)/64</f>
        <v>298942.17594315374</v>
      </c>
    </row>
    <row r="34" spans="1:26" ht="14.25" customHeight="1">
      <c r="A34" s="782"/>
      <c r="B34" s="144" t="s">
        <v>302</v>
      </c>
      <c r="C34" s="540"/>
      <c r="D34" s="541">
        <f>MIN(D32,D33,K8)</f>
        <v>15.2</v>
      </c>
      <c r="E34" s="542">
        <f>SUM(E31:E33)</f>
        <v>130</v>
      </c>
      <c r="F34" s="785"/>
      <c r="G34" s="498" t="str">
        <f>3!G38</f>
        <v>Ön germe kuvveti, İş.</v>
      </c>
      <c r="H34" s="360"/>
      <c r="I34" s="360" t="s">
        <v>156</v>
      </c>
      <c r="J34" s="525"/>
      <c r="K34" s="410">
        <f>K32/K12-K28+K30/10^3</f>
        <v>157.95588274521307</v>
      </c>
      <c r="L34" s="784"/>
      <c r="M34" s="254"/>
      <c r="N34" s="532" t="s">
        <v>142</v>
      </c>
      <c r="O34" s="533">
        <f>0.9*E14/P14</f>
        <v>1.0148205452381371</v>
      </c>
      <c r="P34" s="63" t="str">
        <f>IF(O34&lt;1,0!B254,0!B253)</f>
        <v>  Yeterli</v>
      </c>
      <c r="Q34" s="101"/>
      <c r="V34" s="101"/>
      <c r="W34" s="101"/>
      <c r="X34" s="101"/>
      <c r="Y34" s="115" t="s">
        <v>233</v>
      </c>
      <c r="Z34" s="407">
        <f>PI()*(K21^4-E30^4)/64</f>
        <v>5958748.370541773</v>
      </c>
    </row>
    <row r="35" spans="1:26" ht="14.25" customHeight="1">
      <c r="A35" s="118">
        <f>A25+1</f>
        <v>5</v>
      </c>
      <c r="B35" s="70" t="str">
        <f>0!B114</f>
        <v>Sınır yüzey basıncı</v>
      </c>
      <c r="C35" s="71"/>
      <c r="E35" s="151" t="s">
        <v>62</v>
      </c>
      <c r="G35" s="487" t="str">
        <f>3!G40</f>
        <v>Cıvata ek kuvveti</v>
      </c>
      <c r="H35" s="356"/>
      <c r="I35" s="356" t="s">
        <v>245</v>
      </c>
      <c r="J35" s="525"/>
      <c r="K35" s="248">
        <f>E5*K26*10^3</f>
        <v>1775.7806665683718</v>
      </c>
      <c r="L35" s="784"/>
      <c r="M35" s="254"/>
      <c r="N35" s="543" t="s">
        <v>150</v>
      </c>
      <c r="O35" s="544">
        <f>E37/P16</f>
        <v>1.0692933157509594</v>
      </c>
      <c r="P35" s="63" t="str">
        <f>IF(O36&lt;1,0!B254,0!B253)</f>
        <v>  Yeterli</v>
      </c>
      <c r="Q35" s="101"/>
      <c r="X35" s="101"/>
      <c r="Y35" s="115" t="s">
        <v>190</v>
      </c>
      <c r="Z35" s="382">
        <f>Z34*Z28*E28/E15</f>
        <v>3742209.1215962823</v>
      </c>
    </row>
    <row r="36" spans="1:26" ht="14.25" customHeight="1">
      <c r="A36" s="767"/>
      <c r="B36" s="545" t="str">
        <f>D11</f>
        <v>Montaj</v>
      </c>
      <c r="C36" s="470"/>
      <c r="D36" s="414" t="s">
        <v>97</v>
      </c>
      <c r="E36" s="415">
        <v>700</v>
      </c>
      <c r="G36" s="498" t="str">
        <f>3!G41</f>
        <v>Plakalarca alınan kuvvet</v>
      </c>
      <c r="H36" s="360"/>
      <c r="I36" s="360" t="s">
        <v>247</v>
      </c>
      <c r="J36" s="525"/>
      <c r="K36" s="248">
        <f>E5*10^3-K35</f>
        <v>30024.21933343163</v>
      </c>
      <c r="L36" s="429"/>
      <c r="M36" s="71"/>
      <c r="N36" s="543" t="s">
        <v>303</v>
      </c>
      <c r="O36" s="544">
        <f>P20/P19</f>
        <v>8.174811003974172</v>
      </c>
      <c r="P36" s="63" t="str">
        <f>IF(O35&lt;1,0!B254,0!B253)</f>
        <v>  Yeterli</v>
      </c>
      <c r="X36" s="101"/>
      <c r="Y36" s="283" t="s">
        <v>239</v>
      </c>
      <c r="Z36" s="419">
        <f>E28*Z31/Z32/Z35</f>
        <v>0.002300840115392559</v>
      </c>
    </row>
    <row r="37" spans="1:31" ht="14.25" customHeight="1">
      <c r="A37" s="767"/>
      <c r="B37" s="546" t="str">
        <f>E11</f>
        <v>İşletme</v>
      </c>
      <c r="C37" s="547">
        <f>E36*C23/C21</f>
        <v>496.6666666666667</v>
      </c>
      <c r="D37" s="267" t="s">
        <v>241</v>
      </c>
      <c r="E37" s="421">
        <v>700</v>
      </c>
      <c r="F37" s="71"/>
      <c r="G37" s="497" t="str">
        <f>0!B177</f>
        <v>max. Cıvata kuvveti</v>
      </c>
      <c r="H37" s="242"/>
      <c r="I37" s="242" t="s">
        <v>160</v>
      </c>
      <c r="J37" s="548"/>
      <c r="K37" s="549">
        <f>K33+K35/10^3</f>
        <v>159.73166341178145</v>
      </c>
      <c r="L37" s="424"/>
      <c r="M37" s="550"/>
      <c r="N37" s="536" t="s">
        <v>304</v>
      </c>
      <c r="O37" s="537">
        <f>IF(P26/10^3&lt;0,-1,P26/10^3)</f>
        <v>127.93166341178146</v>
      </c>
      <c r="P37" s="63" t="str">
        <f>IF(O37&lt;0.99,0!B254,0!B253)</f>
        <v>  Yeterli</v>
      </c>
      <c r="Q37" s="101"/>
      <c r="X37" s="101"/>
      <c r="Y37" s="115" t="s">
        <v>192</v>
      </c>
      <c r="AA37" s="101"/>
      <c r="AB37" s="101"/>
      <c r="AC37" s="101"/>
      <c r="AD37" s="101"/>
      <c r="AE37" s="101"/>
    </row>
    <row r="38" spans="1:31" ht="14.25" customHeight="1">
      <c r="A38" s="118">
        <f>A35+1</f>
        <v>6</v>
      </c>
      <c r="B38" s="62" t="str">
        <f>0!B163</f>
        <v>Sürtünme katsayıları ve açıları :</v>
      </c>
      <c r="E38" s="119" t="s">
        <v>98</v>
      </c>
      <c r="F38" s="71"/>
      <c r="G38" s="551">
        <f>IF(P26&gt;=K34,"",IF(Info!$H$13&gt;2.5,"Attention",IF(Info!$H$13&gt;1.5,"Achtung","Dikkat")))</f>
      </c>
      <c r="H38" s="551"/>
      <c r="I38" s="551"/>
      <c r="J38" s="552"/>
      <c r="K38" s="552"/>
      <c r="L38" s="101"/>
      <c r="M38" s="550"/>
      <c r="N38" s="779" t="str">
        <f>IF(MIN(O31:O32,O34:O37)&lt;0.999,0!B251,0!B250)</f>
        <v>Bütün değerler yeterli. Konstruksiyon yapılabilir</v>
      </c>
      <c r="O38" s="779"/>
      <c r="P38" s="779"/>
      <c r="X38" s="101"/>
      <c r="Y38" s="115" t="s">
        <v>193</v>
      </c>
      <c r="Z38" s="382">
        <f>PI()/32*(E29^4-E30^4)/E29</f>
        <v>2127.120025868089</v>
      </c>
      <c r="AA38" s="101"/>
      <c r="AB38" s="101"/>
      <c r="AC38" s="101"/>
      <c r="AD38" s="101"/>
      <c r="AE38" s="101"/>
    </row>
    <row r="39" spans="1:31" ht="14.25" customHeight="1">
      <c r="A39" s="767"/>
      <c r="B39" s="553" t="str">
        <f>0!B108</f>
        <v>Vida</v>
      </c>
      <c r="C39" s="554" t="s">
        <v>305</v>
      </c>
      <c r="D39" s="555">
        <v>0.12</v>
      </c>
      <c r="E39" s="169">
        <f>180*(ATAN(D39))/PI()</f>
        <v>6.84277341263094</v>
      </c>
      <c r="F39" s="71"/>
      <c r="G39" s="779">
        <f>IF(P26&gt;=K34,"",B61)</f>
      </c>
      <c r="H39" s="779"/>
      <c r="I39" s="779"/>
      <c r="J39" s="779"/>
      <c r="K39" s="779"/>
      <c r="L39" s="101"/>
      <c r="M39" s="68"/>
      <c r="N39" s="779"/>
      <c r="O39" s="779"/>
      <c r="P39" s="779"/>
      <c r="X39" s="71"/>
      <c r="Y39" s="101"/>
      <c r="Z39" s="101"/>
      <c r="AA39" s="101"/>
      <c r="AB39" s="101"/>
      <c r="AC39" s="101"/>
      <c r="AD39" s="101"/>
      <c r="AE39" s="101"/>
    </row>
    <row r="40" spans="1:31" ht="14.25" customHeight="1">
      <c r="A40" s="767"/>
      <c r="B40" s="147" t="str">
        <f>0!B132</f>
        <v>Kafa</v>
      </c>
      <c r="C40" s="556" t="s">
        <v>306</v>
      </c>
      <c r="D40" s="557">
        <v>0.12</v>
      </c>
      <c r="E40" s="175">
        <f>180*(ATAN(D40))/PI()</f>
        <v>6.84277341263094</v>
      </c>
      <c r="F40" s="101"/>
      <c r="G40" s="779"/>
      <c r="H40" s="779"/>
      <c r="I40" s="779"/>
      <c r="J40" s="779"/>
      <c r="K40" s="779"/>
      <c r="L40" s="101"/>
      <c r="M40" s="68"/>
      <c r="N40" s="779"/>
      <c r="O40" s="779"/>
      <c r="P40" s="779"/>
      <c r="X40" s="71"/>
      <c r="Y40" s="101"/>
      <c r="Z40" s="101"/>
      <c r="AA40" s="101"/>
      <c r="AB40" s="101"/>
      <c r="AC40" s="101"/>
      <c r="AD40" s="101"/>
      <c r="AE40" s="101"/>
    </row>
    <row r="41" spans="1:31" ht="14.25" customHeight="1">
      <c r="A41" s="273" t="s">
        <v>162</v>
      </c>
      <c r="B41" s="62" t="str">
        <f>0!B245</f>
        <v>1. Parça;bağlanan parçadır (hmin). 2. Parça;taşıyıcı ana parçadır. 3. Parça;ek konstruksiyon parçalarıdır.</v>
      </c>
      <c r="N41" s="101"/>
      <c r="O41" s="101"/>
      <c r="P41" s="101"/>
      <c r="Q41" s="101"/>
      <c r="Y41" s="101"/>
      <c r="Z41" s="101"/>
      <c r="AA41" s="101"/>
      <c r="AB41" s="101"/>
      <c r="AC41" s="101"/>
      <c r="AD41" s="101"/>
      <c r="AE41" s="101"/>
    </row>
    <row r="42" spans="1:31" ht="14.25" customHeight="1">
      <c r="A42" s="275" t="s">
        <v>163</v>
      </c>
      <c r="B42" s="62" t="str">
        <f>0!B246</f>
        <v>Sıkıştırma momenti ve ön gerilme kuvveti ya tabeladan veya hesaplananmomente göre alınır.</v>
      </c>
      <c r="N42" s="101"/>
      <c r="O42" s="101"/>
      <c r="P42" s="101"/>
      <c r="Q42" s="101"/>
      <c r="Y42" s="101"/>
      <c r="Z42" s="101"/>
      <c r="AA42" s="101"/>
      <c r="AB42" s="101"/>
      <c r="AC42" s="101"/>
      <c r="AD42" s="101"/>
      <c r="AE42" s="101"/>
    </row>
    <row r="43" spans="1:31" ht="14.25" customHeight="1">
      <c r="A43" s="67" t="str">
        <f>0!B56</f>
        <v>Düşünceler :</v>
      </c>
      <c r="C43" s="752"/>
      <c r="D43" s="752"/>
      <c r="E43" s="752"/>
      <c r="F43" s="752"/>
      <c r="G43" s="752"/>
      <c r="H43" s="752"/>
      <c r="I43" s="752"/>
      <c r="J43" s="752"/>
      <c r="K43" s="752"/>
      <c r="L43" s="276"/>
      <c r="N43" s="101"/>
      <c r="O43" s="101"/>
      <c r="P43" s="101"/>
      <c r="Q43" s="101"/>
      <c r="U43" s="101"/>
      <c r="X43" s="71"/>
      <c r="Y43" s="101"/>
      <c r="Z43" s="101"/>
      <c r="AA43" s="101"/>
      <c r="AB43" s="101"/>
      <c r="AC43" s="101"/>
      <c r="AD43" s="101"/>
      <c r="AE43" s="101"/>
    </row>
    <row r="44" spans="2:25" ht="14.25" customHeight="1">
      <c r="B44" s="62" t="str">
        <f>0!B247</f>
        <v>Bu programdaki devamlı mukavemet hesabı, civata kafası presleme ve vida ovalama metoduyla imal edilmiş vede imalat bitiminde islah edilmiş civatalar için geçerlidir.</v>
      </c>
      <c r="O44" s="278" t="s">
        <v>164</v>
      </c>
      <c r="P44" s="279" t="s">
        <v>165</v>
      </c>
      <c r="Q44" s="280"/>
      <c r="R44" s="281"/>
      <c r="X44" s="71"/>
      <c r="Y44" s="71"/>
    </row>
    <row r="45" spans="2:25" ht="14.25" customHeight="1" hidden="1">
      <c r="B45" s="101"/>
      <c r="C45" s="101"/>
      <c r="D45" s="101"/>
      <c r="V45" s="101"/>
      <c r="W45" s="101"/>
      <c r="X45" s="101"/>
      <c r="Y45" s="71"/>
    </row>
    <row r="46" spans="2:30" ht="14.25" customHeight="1" hidden="1">
      <c r="B46" s="101"/>
      <c r="C46" s="101"/>
      <c r="D46" s="101"/>
      <c r="V46" s="101"/>
      <c r="W46" s="101"/>
      <c r="X46" s="101"/>
      <c r="Y46" s="71"/>
      <c r="Z46" s="113" t="str">
        <f>J23</f>
        <v>Montaj</v>
      </c>
      <c r="AA46" s="113" t="str">
        <f>Z46</f>
        <v>Montaj</v>
      </c>
      <c r="AB46" s="113" t="str">
        <f>AA46</f>
        <v>Montaj</v>
      </c>
      <c r="AC46" s="113" t="str">
        <f>AB46</f>
        <v>Montaj</v>
      </c>
      <c r="AD46" s="113" t="str">
        <f>AC46</f>
        <v>Montaj</v>
      </c>
    </row>
    <row r="47" spans="1:30" ht="14.25" customHeight="1" hidden="1">
      <c r="A47" s="101"/>
      <c r="B47" s="101"/>
      <c r="C47" s="101"/>
      <c r="D47" s="101"/>
      <c r="E47" s="101"/>
      <c r="F47" s="101"/>
      <c r="G47" s="101"/>
      <c r="H47" s="101"/>
      <c r="I47" s="101"/>
      <c r="J47" s="101"/>
      <c r="K47" s="101"/>
      <c r="L47" s="101"/>
      <c r="M47" s="101"/>
      <c r="N47" s="101"/>
      <c r="O47" s="101"/>
      <c r="V47" s="101"/>
      <c r="W47" s="101"/>
      <c r="X47" s="101"/>
      <c r="Z47" s="113">
        <v>0.5</v>
      </c>
      <c r="AA47" s="113">
        <v>0.4</v>
      </c>
      <c r="AB47" s="113">
        <v>0.5</v>
      </c>
      <c r="AC47" s="113">
        <v>0.5</v>
      </c>
      <c r="AD47" s="113">
        <v>0.4</v>
      </c>
    </row>
    <row r="48" spans="1:30" ht="14.25" customHeight="1" hidden="1">
      <c r="A48" s="101"/>
      <c r="B48" s="101"/>
      <c r="C48" s="101"/>
      <c r="D48" s="101"/>
      <c r="E48" s="101"/>
      <c r="F48" s="101"/>
      <c r="G48" s="101"/>
      <c r="H48" s="101"/>
      <c r="I48" s="101"/>
      <c r="J48" s="101"/>
      <c r="K48" s="101"/>
      <c r="L48" s="101"/>
      <c r="M48" s="101"/>
      <c r="N48" s="101"/>
      <c r="O48" s="101"/>
      <c r="V48" s="101"/>
      <c r="W48" s="101"/>
      <c r="X48" s="101"/>
      <c r="Y48" s="283" t="s">
        <v>307</v>
      </c>
      <c r="Z48" s="558">
        <f>0.5*$D$31/$D$15/$K$6</f>
        <v>1.5157613627799555E-07</v>
      </c>
      <c r="AA48" s="558">
        <f>0.5*$D$31/$D$15/$K$6</f>
        <v>1.5157613627799555E-07</v>
      </c>
      <c r="AB48" s="558">
        <f>0.5*$D$31/$D$15/$K$6</f>
        <v>1.5157613627799555E-07</v>
      </c>
      <c r="AC48" s="558">
        <f>0.5*$D$31/$D$15/$K$6</f>
        <v>1.5157613627799555E-07</v>
      </c>
      <c r="AD48" s="558">
        <f>0.5*$D$31/$D$15/$K$6</f>
        <v>1.5157613627799555E-07</v>
      </c>
    </row>
    <row r="49" spans="1:30" ht="14.25" customHeight="1" hidden="1">
      <c r="A49" s="101"/>
      <c r="B49" s="101"/>
      <c r="C49" s="101"/>
      <c r="D49" s="101"/>
      <c r="E49" s="101"/>
      <c r="F49" s="101"/>
      <c r="G49" s="101"/>
      <c r="H49" s="101"/>
      <c r="I49" s="101"/>
      <c r="J49" s="101"/>
      <c r="K49" s="101"/>
      <c r="L49" s="101"/>
      <c r="M49" s="101"/>
      <c r="N49" s="101"/>
      <c r="O49" s="101"/>
      <c r="V49" s="101"/>
      <c r="W49" s="101"/>
      <c r="X49" s="101"/>
      <c r="Y49" s="283" t="s">
        <v>308</v>
      </c>
      <c r="Z49" s="285">
        <f>$E$31/$D$15/$K$6</f>
        <v>2.2736420441699336E-07</v>
      </c>
      <c r="AA49" s="285">
        <f>$E$31/$D$15/$K$6</f>
        <v>2.2736420441699336E-07</v>
      </c>
      <c r="AB49" s="285">
        <f>$E$31/$D$15/$K$6</f>
        <v>2.2736420441699336E-07</v>
      </c>
      <c r="AC49" s="285">
        <f>$E$31/$D$15/$K$6</f>
        <v>2.2736420441699336E-07</v>
      </c>
      <c r="AD49" s="285">
        <f>$E$31/$D$15/$K$6</f>
        <v>2.2736420441699336E-07</v>
      </c>
    </row>
    <row r="50" spans="2:30" ht="14.25" customHeight="1" hidden="1">
      <c r="B50" s="101"/>
      <c r="C50" s="101"/>
      <c r="D50" s="101"/>
      <c r="V50" s="101"/>
      <c r="W50" s="101"/>
      <c r="X50" s="101"/>
      <c r="Y50" s="283" t="s">
        <v>309</v>
      </c>
      <c r="Z50" s="285">
        <f>$E$32/$D$15/$K$5</f>
        <v>2.0993924692243154E-06</v>
      </c>
      <c r="AA50" s="285">
        <f>$E$32/$D$15/$K$5</f>
        <v>2.0993924692243154E-06</v>
      </c>
      <c r="AB50" s="285">
        <f>$E$32/$D$15/$K$5</f>
        <v>2.0993924692243154E-06</v>
      </c>
      <c r="AC50" s="285">
        <f>$E$32/$D$15/$K$5</f>
        <v>2.0993924692243154E-06</v>
      </c>
      <c r="AD50" s="285">
        <f>$E$32/$D$15/$K$5</f>
        <v>2.0993924692243154E-06</v>
      </c>
    </row>
    <row r="51" spans="18:30" ht="14.25" customHeight="1" hidden="1">
      <c r="R51" s="101"/>
      <c r="S51" s="101"/>
      <c r="V51" s="101"/>
      <c r="W51" s="101"/>
      <c r="X51" s="101"/>
      <c r="Y51" s="283" t="s">
        <v>310</v>
      </c>
      <c r="Z51" s="285">
        <f>IF($E$33&gt;0.1,$E$33/$K$9/$D$15)</f>
        <v>5.305164769729844E-07</v>
      </c>
      <c r="AA51" s="285">
        <f>IF($E$33&gt;0.1,$E$33/$K$9/$D$15)</f>
        <v>5.305164769729844E-07</v>
      </c>
      <c r="AB51" s="285">
        <f>IF($E$33&gt;0.1,$E$33/$K$9/$D$15)</f>
        <v>5.305164769729844E-07</v>
      </c>
      <c r="AC51" s="285">
        <f>IF($E$33&gt;0.1,$E$33/$K$9/$D$15)</f>
        <v>5.305164769729844E-07</v>
      </c>
      <c r="AD51" s="285">
        <f>IF($E$33&gt;0.1,$E$33/$K$9/$D$15)</f>
        <v>5.305164769729844E-07</v>
      </c>
    </row>
    <row r="52" spans="18:30" ht="14.25" customHeight="1" hidden="1">
      <c r="R52" s="101"/>
      <c r="S52" s="101"/>
      <c r="V52" s="101"/>
      <c r="W52" s="101"/>
      <c r="X52" s="101"/>
      <c r="Y52" s="283" t="s">
        <v>311</v>
      </c>
      <c r="Z52" s="285">
        <f>0.5*$E$26/$D$15/$K$9</f>
        <v>1.5157613627799555E-07</v>
      </c>
      <c r="AA52" s="285">
        <f>0.5*$E$26/$D$15/$K$9</f>
        <v>1.5157613627799555E-07</v>
      </c>
      <c r="AB52" s="285">
        <f>0.5*$E$26/$D$15/$K$9</f>
        <v>1.5157613627799555E-07</v>
      </c>
      <c r="AC52" s="285">
        <f>0.5*$E$26/$D$15/$K$9</f>
        <v>1.5157613627799555E-07</v>
      </c>
      <c r="AD52" s="285">
        <f>0.5*$E$26/$D$15/$K$9</f>
        <v>1.5157613627799555E-07</v>
      </c>
    </row>
    <row r="53" spans="18:30" ht="14.25" customHeight="1" hidden="1">
      <c r="R53" s="101"/>
      <c r="S53" s="101"/>
      <c r="V53" s="101"/>
      <c r="W53" s="101"/>
      <c r="X53" s="101"/>
      <c r="Y53" s="283" t="s">
        <v>312</v>
      </c>
      <c r="Z53" s="285">
        <f>0.4*$E$26/$D$15/$K$6</f>
        <v>1.2126090902239643E-07</v>
      </c>
      <c r="AA53" s="285">
        <f>0.4*$E$26/$D$15/$K$6</f>
        <v>1.2126090902239643E-07</v>
      </c>
      <c r="AB53" s="285">
        <f>0.4*$E$26/$D$15/$K$6</f>
        <v>1.2126090902239643E-07</v>
      </c>
      <c r="AC53" s="285">
        <f>0.4*$E$26/$D$15/$K$6</f>
        <v>1.2126090902239643E-07</v>
      </c>
      <c r="AD53" s="285">
        <f>0.4*$E$26/$D$15/$K$6</f>
        <v>1.2126090902239643E-07</v>
      </c>
    </row>
    <row r="54" spans="2:30" ht="14.25" customHeight="1" hidden="1">
      <c r="B54" s="101"/>
      <c r="C54" s="101"/>
      <c r="D54" s="101"/>
      <c r="R54" s="101"/>
      <c r="S54" s="101"/>
      <c r="V54" s="101"/>
      <c r="W54" s="101"/>
      <c r="X54" s="101"/>
      <c r="Z54" s="286">
        <f>SUM(Z48:Z53)</f>
        <v>3.2816863321926808E-06</v>
      </c>
      <c r="AA54" s="286">
        <f>SUM(AA48:AA53)</f>
        <v>3.2816863321926808E-06</v>
      </c>
      <c r="AB54" s="286">
        <f>SUM(AB48:AB53)</f>
        <v>3.2816863321926808E-06</v>
      </c>
      <c r="AC54" s="286">
        <f>SUM(AC48:AC53)</f>
        <v>3.2816863321926808E-06</v>
      </c>
      <c r="AD54" s="286">
        <f>SUM(AD48:AD53)</f>
        <v>3.2816863321926808E-06</v>
      </c>
    </row>
    <row r="55" spans="2:30" ht="14.25" customHeight="1" hidden="1">
      <c r="B55" s="290"/>
      <c r="C55" s="101"/>
      <c r="D55" s="101"/>
      <c r="M55" s="101"/>
      <c r="R55" s="101"/>
      <c r="S55" s="101"/>
      <c r="V55" s="101"/>
      <c r="W55" s="101"/>
      <c r="X55" s="101"/>
      <c r="Z55" s="559">
        <v>11</v>
      </c>
      <c r="AA55" s="559">
        <v>12</v>
      </c>
      <c r="AB55" s="559">
        <v>21</v>
      </c>
      <c r="AC55" s="560">
        <v>22</v>
      </c>
      <c r="AD55" s="560">
        <v>23</v>
      </c>
    </row>
    <row r="56" spans="2:26" ht="14.25" customHeight="1" hidden="1">
      <c r="B56" s="290" t="str">
        <f>0!B257</f>
        <v>Lütfen, LSı ile L1+L2 yi kontrol ediniz.</v>
      </c>
      <c r="C56" s="101"/>
      <c r="D56" s="101"/>
      <c r="R56" s="101"/>
      <c r="S56" s="101"/>
      <c r="V56" s="101"/>
      <c r="W56" s="101"/>
      <c r="X56" s="101"/>
      <c r="Y56" s="283" t="s">
        <v>313</v>
      </c>
      <c r="Z56" s="561">
        <f>Z54</f>
        <v>3.2816863321926808E-06</v>
      </c>
    </row>
    <row r="57" spans="2:30" ht="14.25" customHeight="1" hidden="1">
      <c r="B57" s="290"/>
      <c r="C57" s="101"/>
      <c r="D57" s="101"/>
      <c r="R57" s="101"/>
      <c r="S57" s="101"/>
      <c r="V57" s="101"/>
      <c r="W57" s="101"/>
      <c r="X57" s="101"/>
      <c r="Z57" s="457" t="s">
        <v>265</v>
      </c>
      <c r="AA57" s="457" t="s">
        <v>265</v>
      </c>
      <c r="AB57" s="457" t="s">
        <v>266</v>
      </c>
      <c r="AC57" s="457" t="s">
        <v>266</v>
      </c>
      <c r="AD57" s="457" t="s">
        <v>266</v>
      </c>
    </row>
    <row r="58" spans="2:26" ht="14.25" customHeight="1" hidden="1">
      <c r="B58" s="101"/>
      <c r="C58" s="101"/>
      <c r="D58" s="101"/>
      <c r="O58" s="288" t="s">
        <v>256</v>
      </c>
      <c r="P58" s="370">
        <f>E28*E16*(E12-D12)</f>
        <v>0.11544</v>
      </c>
      <c r="Q58" s="289"/>
      <c r="R58" s="101"/>
      <c r="S58" s="101"/>
      <c r="V58" s="101"/>
      <c r="W58" s="101"/>
      <c r="X58" s="101"/>
      <c r="Y58" s="283" t="s">
        <v>172</v>
      </c>
      <c r="Z58" s="285">
        <f>$C$20/$C$21/$K$22</f>
        <v>4.569035210890729E-08</v>
      </c>
    </row>
    <row r="59" spans="13:26" ht="14.25" customHeight="1" hidden="1">
      <c r="M59" s="68"/>
      <c r="N59" s="68"/>
      <c r="Y59" s="283" t="s">
        <v>173</v>
      </c>
      <c r="Z59" s="285">
        <f>IF($D$20&gt;0,$D$20/$D$21/$K$22,"")</f>
        <v>2.5129693659899013E-07</v>
      </c>
    </row>
    <row r="60" spans="13:26" ht="14.25" customHeight="1" hidden="1">
      <c r="M60" s="68"/>
      <c r="N60" s="68"/>
      <c r="O60" s="115">
        <v>1</v>
      </c>
      <c r="P60" s="449">
        <f>IF(C20&lt;=0,"",C20*C24*(C22-D12))</f>
        <v>0.07326</v>
      </c>
      <c r="Y60" s="283" t="s">
        <v>174</v>
      </c>
      <c r="Z60" s="285">
        <f>IF($E$20&gt;0,$E$20/$E$21/$K$22,"")</f>
      </c>
    </row>
    <row r="61" spans="2:26" ht="14.25" customHeight="1" hidden="1">
      <c r="B61" s="290" t="str">
        <f>0!B260</f>
        <v>Cıvatanın sıkıştırma kuvveti FÖNM max yeterlı değil. Cıvata yeniden seçilir.</v>
      </c>
      <c r="M61" s="68"/>
      <c r="N61" s="68"/>
      <c r="O61" s="101">
        <v>2</v>
      </c>
      <c r="P61" s="449">
        <f>IF(D20&lt;=0,"",D20*D24*(D22-D12))</f>
        <v>0.43956</v>
      </c>
      <c r="Y61" s="283" t="s">
        <v>175</v>
      </c>
      <c r="Z61" s="450">
        <f>SUM(Z58:Z60)*10^3</f>
        <v>0.00029698728870789745</v>
      </c>
    </row>
    <row r="62" spans="15:16" ht="14.25" customHeight="1" hidden="1">
      <c r="O62" s="101">
        <v>3</v>
      </c>
      <c r="P62" s="449">
        <f>IF(E20&lt;=0,"",E20*E24*(E22-D12))</f>
      </c>
    </row>
    <row r="63" spans="15:16" ht="14.25" customHeight="1" hidden="1">
      <c r="O63" s="288" t="s">
        <v>257</v>
      </c>
      <c r="P63" s="449">
        <f>SUM(P60:P62)</f>
        <v>0.51282</v>
      </c>
    </row>
    <row r="64" spans="26:30" ht="14.25" customHeight="1" hidden="1">
      <c r="Z64" s="113" t="str">
        <f>J19</f>
        <v>İşletme</v>
      </c>
      <c r="AA64" s="113" t="str">
        <f>Z64</f>
        <v>İşletme</v>
      </c>
      <c r="AB64" s="113" t="str">
        <f>AA64</f>
        <v>İşletme</v>
      </c>
      <c r="AC64" s="113" t="str">
        <f>AB64</f>
        <v>İşletme</v>
      </c>
      <c r="AD64" s="113" t="str">
        <f>AC64</f>
        <v>İşletme</v>
      </c>
    </row>
    <row r="65" spans="15:30" ht="14.25" customHeight="1" hidden="1">
      <c r="O65" s="288" t="s">
        <v>258</v>
      </c>
      <c r="P65" s="449">
        <f>P63-P58</f>
        <v>0.39738000000000007</v>
      </c>
      <c r="Y65" s="283" t="s">
        <v>314</v>
      </c>
      <c r="Z65" s="558">
        <f>0.5*$D$31/$E$15/$K$6</f>
        <v>1.5377289187622738E-07</v>
      </c>
      <c r="AA65" s="558">
        <f>0.4*$D$31/$E$15/$K$6</f>
        <v>1.230183135009819E-07</v>
      </c>
      <c r="AB65" s="558">
        <f>0.5*$D$31/$E$15/$K$6</f>
        <v>1.5377289187622738E-07</v>
      </c>
      <c r="AC65" s="558">
        <f>0.5*$D$31/$E$15/$K$6</f>
        <v>1.5377289187622738E-07</v>
      </c>
      <c r="AD65" s="558">
        <f>0.4*$D$31/$E$15/$K$6</f>
        <v>1.230183135009819E-07</v>
      </c>
    </row>
    <row r="66" spans="25:30" ht="14.25" customHeight="1" hidden="1">
      <c r="Y66" s="283" t="s">
        <v>315</v>
      </c>
      <c r="Z66" s="285">
        <f>$E$31/$E$15/$K$6</f>
        <v>2.3065933781434105E-07</v>
      </c>
      <c r="AA66" s="285">
        <f>$E$31/$E$15/$K$6</f>
        <v>2.3065933781434105E-07</v>
      </c>
      <c r="AB66" s="285">
        <f>$E$31/$E$15/$K$6</f>
        <v>2.3065933781434105E-07</v>
      </c>
      <c r="AC66" s="285">
        <f>$E$31/$E$15/$K$6</f>
        <v>2.3065933781434105E-07</v>
      </c>
      <c r="AD66" s="285">
        <f>$E$31/$E$15/$K$6</f>
        <v>2.3065933781434105E-07</v>
      </c>
    </row>
    <row r="67" spans="25:30" ht="14.25" customHeight="1" hidden="1">
      <c r="Y67" s="283" t="s">
        <v>316</v>
      </c>
      <c r="Z67" s="285">
        <f>$E$32/$E$15/$K$5</f>
        <v>2.1298184470391605E-06</v>
      </c>
      <c r="AA67" s="285">
        <f>$E$32/$E$15/$K$5</f>
        <v>2.1298184470391605E-06</v>
      </c>
      <c r="AB67" s="285">
        <f>$E$32/$E$15/$K$5</f>
        <v>2.1298184470391605E-06</v>
      </c>
      <c r="AC67" s="285">
        <f>$E$32/$E$15/$K$5</f>
        <v>2.1298184470391605E-06</v>
      </c>
      <c r="AD67" s="285">
        <f>$E$32/$E$15/$K$5</f>
        <v>2.1298184470391605E-06</v>
      </c>
    </row>
    <row r="68" spans="25:30" ht="14.25" customHeight="1" hidden="1">
      <c r="Y68" s="283" t="s">
        <v>317</v>
      </c>
      <c r="Z68" s="285">
        <f>IF($E$33&gt;0.1,$E$33/$K$9/$E$15)</f>
        <v>5.382051215667958E-07</v>
      </c>
      <c r="AA68" s="285">
        <f>IF($E$33&gt;0.1,$E$33/$K$9/$E$15)</f>
        <v>5.382051215667958E-07</v>
      </c>
      <c r="AB68" s="285">
        <f>IF($E$33&gt;0.1,$E$33/$K$9/$E$15)</f>
        <v>5.382051215667958E-07</v>
      </c>
      <c r="AC68" s="285">
        <f>IF($E$33&gt;0.1,$E$33/$K$9/$E$15)</f>
        <v>5.382051215667958E-07</v>
      </c>
      <c r="AD68" s="285">
        <f>IF($E$33&gt;0.1,$E$33/$K$9/$E$15)</f>
        <v>5.382051215667958E-07</v>
      </c>
    </row>
    <row r="69" spans="25:30" ht="14.25" customHeight="1" hidden="1">
      <c r="Y69" s="283" t="s">
        <v>318</v>
      </c>
      <c r="Z69" s="285">
        <f>0.5*$E$26/$E$15/$K$9</f>
        <v>1.5377289187622738E-07</v>
      </c>
      <c r="AA69" s="285">
        <f>0.5*$E$26/$E$15/$K$9</f>
        <v>1.5377289187622738E-07</v>
      </c>
      <c r="AB69" s="285">
        <f>0.5*$E$26/$E$15/$K$9</f>
        <v>1.5377289187622738E-07</v>
      </c>
      <c r="AC69" s="285">
        <f>0.5*$E$26/$E$15/$K$9</f>
        <v>1.5377289187622738E-07</v>
      </c>
      <c r="AD69" s="285">
        <f>0.5*$E$26/$E$15/$K$9</f>
        <v>1.5377289187622738E-07</v>
      </c>
    </row>
    <row r="70" spans="25:30" ht="14.25" customHeight="1" hidden="1">
      <c r="Y70" s="283" t="s">
        <v>319</v>
      </c>
      <c r="Z70" s="285">
        <f>0.4*$E$26/$E$15/$K$6</f>
        <v>1.230183135009819E-07</v>
      </c>
      <c r="AA70" s="285">
        <f>0.4*$E$26/$E$15/$K$6</f>
        <v>1.230183135009819E-07</v>
      </c>
      <c r="AB70" s="285" t="e">
        <f>0.33*$E$26/$T$31/$K$6</f>
        <v>#DIV/0!</v>
      </c>
      <c r="AC70" s="285" t="e">
        <f>0.33*$E$26/$T$31/$K$6</f>
        <v>#DIV/0!</v>
      </c>
      <c r="AD70" s="285" t="e">
        <f>0.33*$E$26/$T$31/$K$6</f>
        <v>#DIV/0!</v>
      </c>
    </row>
    <row r="71" spans="25:30" ht="14.25" customHeight="1" hidden="1">
      <c r="Y71" s="283" t="s">
        <v>171</v>
      </c>
      <c r="Z71" s="286">
        <f>SUM(Z65:Z70)</f>
        <v>3.3292470036737344E-06</v>
      </c>
      <c r="AA71" s="286">
        <f>SUM(AA65:AA70)</f>
        <v>3.2984924252984887E-06</v>
      </c>
      <c r="AB71" s="286" t="e">
        <f>SUM(AB65:AB70)</f>
        <v>#DIV/0!</v>
      </c>
      <c r="AC71" s="286" t="e">
        <f>SUM(AC65:AC70)</f>
        <v>#DIV/0!</v>
      </c>
      <c r="AD71" s="286" t="e">
        <f>SUM(AD65:AD70)</f>
        <v>#DIV/0!</v>
      </c>
    </row>
    <row r="72" spans="26:30" ht="14.25" customHeight="1" hidden="1">
      <c r="Z72" s="559">
        <v>11</v>
      </c>
      <c r="AA72" s="559">
        <v>12</v>
      </c>
      <c r="AB72" s="559">
        <v>21</v>
      </c>
      <c r="AC72" s="560">
        <v>22</v>
      </c>
      <c r="AD72" s="560">
        <v>23</v>
      </c>
    </row>
    <row r="73" spans="25:26" ht="14.25" customHeight="1" hidden="1">
      <c r="Y73" s="283" t="s">
        <v>320</v>
      </c>
      <c r="Z73" s="561">
        <f>Z71</f>
        <v>3.3292470036737344E-06</v>
      </c>
    </row>
    <row r="74" ht="14.25" customHeight="1" hidden="1"/>
    <row r="75" spans="25:31" ht="14.25" customHeight="1" hidden="1">
      <c r="Y75" s="283" t="s">
        <v>172</v>
      </c>
      <c r="Z75" s="285">
        <f>$C$20/$C$23/$K$22</f>
        <v>6.439579827429886E-08</v>
      </c>
      <c r="AA75" s="562"/>
      <c r="AB75" s="101"/>
      <c r="AC75" s="101"/>
      <c r="AD75" s="101"/>
      <c r="AE75" s="101"/>
    </row>
    <row r="76" spans="25:31" ht="14.25" customHeight="1">
      <c r="Y76" s="283" t="s">
        <v>173</v>
      </c>
      <c r="Z76" s="285">
        <f>IF($D$20&gt;0,$D$20/$D$23/$K$22,"")</f>
        <v>3.5417689050864377E-07</v>
      </c>
      <c r="AA76" s="562"/>
      <c r="AB76" s="101"/>
      <c r="AC76" s="101"/>
      <c r="AD76" s="101"/>
      <c r="AE76" s="101"/>
    </row>
    <row r="77" spans="25:31" ht="14.25" customHeight="1">
      <c r="Y77" s="283" t="s">
        <v>174</v>
      </c>
      <c r="Z77" s="285">
        <f>IF($E$20&gt;0,$E$20/$E$23/$K$22,"")</f>
      </c>
      <c r="AC77" s="113">
        <v>1</v>
      </c>
      <c r="AD77" s="113">
        <v>2</v>
      </c>
      <c r="AE77" s="113"/>
    </row>
    <row r="78" spans="28:31" ht="14.25" customHeight="1">
      <c r="AB78" s="288" t="s">
        <v>176</v>
      </c>
      <c r="AC78" s="460">
        <f>K25*Z79/(Z79+Z73)</f>
        <v>0.4960544776863058</v>
      </c>
      <c r="AD78" s="460" t="e">
        <f>K25*Z79/(Z80+Z73)</f>
        <v>#REF!</v>
      </c>
      <c r="AE78" s="460"/>
    </row>
    <row r="79" spans="25:31" ht="14.25" customHeight="1">
      <c r="Y79" s="283" t="s">
        <v>175</v>
      </c>
      <c r="Z79" s="450">
        <f>SUM(Z75:Z77)*10^3</f>
        <v>0.00041857268878294266</v>
      </c>
      <c r="AA79" s="562"/>
      <c r="AB79" s="462" t="s">
        <v>268</v>
      </c>
      <c r="AC79" s="458">
        <f>IF(T29=1,AC78,IF(T29=2,AD78,IF(T29=3,AE78,0)))</f>
        <v>0</v>
      </c>
      <c r="AD79" s="71"/>
      <c r="AE79" s="71"/>
    </row>
    <row r="80" spans="25:31" ht="14.25" customHeight="1">
      <c r="Y80" s="463" t="s">
        <v>321</v>
      </c>
      <c r="Z80" s="70" t="e">
        <f>Z79*(1+#REF!*K12/Z36)</f>
        <v>#REF!</v>
      </c>
      <c r="AB80" s="71"/>
      <c r="AC80" s="71"/>
      <c r="AD80" s="71"/>
      <c r="AE80" s="71"/>
    </row>
    <row r="81" spans="25:31" ht="14.25" customHeight="1">
      <c r="Y81" s="101"/>
      <c r="Z81" s="101"/>
      <c r="AA81" s="101"/>
      <c r="AC81" s="464">
        <f>P13</f>
        <v>880.2660595663386</v>
      </c>
      <c r="AD81" s="464" t="e">
        <f>AC81+AD82</f>
        <v>#REF!</v>
      </c>
      <c r="AE81" s="464" t="e">
        <f>AC81+AE82</f>
        <v>#REF!</v>
      </c>
    </row>
    <row r="82" spans="25:31" ht="14.25" customHeight="1">
      <c r="Y82" s="101"/>
      <c r="Z82" s="101"/>
      <c r="AB82" s="71"/>
      <c r="AC82" s="464">
        <v>0</v>
      </c>
      <c r="AD82" s="464" t="e">
        <f>E5*10^3*#REF!*Z36/K10</f>
        <v>#REF!</v>
      </c>
      <c r="AE82" s="464" t="e">
        <f>E5*10^3*#REF!*Z36/K10</f>
        <v>#REF!</v>
      </c>
    </row>
    <row r="83" spans="25:31" ht="14.25" customHeight="1">
      <c r="Y83" s="283" t="s">
        <v>179</v>
      </c>
      <c r="Z83" s="67">
        <f>0.4*E26/E15/Z30</f>
        <v>4.920732540039276E-09</v>
      </c>
      <c r="AB83" s="288" t="s">
        <v>271</v>
      </c>
      <c r="AC83" s="465">
        <f>IF(T29=1,AC81,IF(T29=2,AD81,IF(T29=3,AE81,0)))</f>
        <v>0</v>
      </c>
      <c r="AD83" s="113"/>
      <c r="AE83" s="113"/>
    </row>
    <row r="84" spans="25:31" ht="14.25" customHeight="1">
      <c r="Y84" s="283" t="s">
        <v>272</v>
      </c>
      <c r="Z84" s="67">
        <f>E31/$E$15/Z30</f>
        <v>9.226373512573643E-09</v>
      </c>
      <c r="AB84" s="115" t="s">
        <v>196</v>
      </c>
      <c r="AC84" s="113"/>
      <c r="AD84" s="464" t="e">
        <f>E5*#REF!</f>
        <v>#REF!</v>
      </c>
      <c r="AE84" s="113"/>
    </row>
    <row r="85" spans="25:26" ht="14.25" customHeight="1">
      <c r="Y85" s="283" t="s">
        <v>273</v>
      </c>
      <c r="Z85" s="67">
        <f>E33/$E$15/Z31</f>
        <v>4.189962347353246E-08</v>
      </c>
    </row>
    <row r="86" spans="25:26" ht="14.25" customHeight="1">
      <c r="Y86" s="283" t="s">
        <v>274</v>
      </c>
      <c r="Z86" s="67">
        <f>0.5*E26/E15/Z31</f>
        <v>1.1971320992437845E-08</v>
      </c>
    </row>
    <row r="87" spans="25:26" ht="14.25" customHeight="1">
      <c r="Y87" s="283" t="s">
        <v>274</v>
      </c>
      <c r="Z87" s="67">
        <f>0.4*E26/E15/Z30</f>
        <v>4.920732540039276E-09</v>
      </c>
    </row>
    <row r="88" spans="25:26" ht="14.25" customHeight="1">
      <c r="Y88" s="466" t="s">
        <v>275</v>
      </c>
      <c r="Z88" s="467">
        <f>SUM(Z83:Z87)</f>
        <v>7.29387830586225E-08</v>
      </c>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password="EF77" sheet="1" objects="1" scenarios="1"/>
  <mergeCells count="19">
    <mergeCell ref="C2:J2"/>
    <mergeCell ref="L9:L12"/>
    <mergeCell ref="Q9:Q12"/>
    <mergeCell ref="D10:E10"/>
    <mergeCell ref="L14:L17"/>
    <mergeCell ref="D17:E17"/>
    <mergeCell ref="Q17:Q20"/>
    <mergeCell ref="F18:F34"/>
    <mergeCell ref="A19:A21"/>
    <mergeCell ref="A22:A24"/>
    <mergeCell ref="L23:L25"/>
    <mergeCell ref="A26:A34"/>
    <mergeCell ref="L27:L30"/>
    <mergeCell ref="L32:L35"/>
    <mergeCell ref="C43:K43"/>
    <mergeCell ref="A36:A37"/>
    <mergeCell ref="N38:P40"/>
    <mergeCell ref="A39:A40"/>
    <mergeCell ref="G39:K40"/>
  </mergeCells>
  <conditionalFormatting sqref="G39:K39">
    <cfRule type="cellIs" priority="1" dxfId="0" operator="notEqual" stopIfTrue="1">
      <formula>0</formula>
    </cfRule>
  </conditionalFormatting>
  <printOptions horizontalCentered="1" verticalCentered="1"/>
  <pageMargins left="0.31527777777777777" right="0.31527777777777777" top="0.5902777777777778" bottom="0.5902777777777777" header="0.5118055555555555" footer="0.5118055555555555"/>
  <pageSetup horizontalDpi="300" verticalDpi="300" orientation="landscape" paperSize="9" scale="79"/>
  <headerFooter alignWithMargins="0">
    <oddFooter>&amp;L&amp;D / &amp;F / &amp;A&amp;R&amp;P von &amp;N</oddFooter>
  </headerFooter>
  <legacyDrawing r:id="rId2"/>
  <oleObjects>
    <oleObject progId="" shapeId="120515218" r:id="rId1"/>
  </oleObjects>
</worksheet>
</file>

<file path=xl/worksheets/sheet7.xml><?xml version="1.0" encoding="utf-8"?>
<worksheet xmlns="http://schemas.openxmlformats.org/spreadsheetml/2006/main" xmlns:r="http://schemas.openxmlformats.org/officeDocument/2006/relationships">
  <dimension ref="A1:AG88"/>
  <sheetViews>
    <sheetView showGridLines="0" showRowColHeaders="0" zoomScale="82" zoomScaleNormal="82" workbookViewId="0" topLeftCell="A1">
      <selection activeCell="J77" sqref="J77"/>
    </sheetView>
  </sheetViews>
  <sheetFormatPr defaultColWidth="11.421875" defaultRowHeight="12.75"/>
  <cols>
    <col min="1" max="1" width="4.00390625" style="67" customWidth="1"/>
    <col min="2" max="5" width="10.7109375" style="67" customWidth="1"/>
    <col min="6" max="6" width="4.421875" style="67" customWidth="1"/>
    <col min="7" max="7" width="16.7109375" style="67" customWidth="1"/>
    <col min="8" max="10" width="6.7109375" style="67" customWidth="1"/>
    <col min="11" max="11" width="10.7109375" style="67" customWidth="1"/>
    <col min="12" max="13" width="4.421875" style="67" customWidth="1"/>
    <col min="14" max="14" width="20.7109375" style="67" customWidth="1"/>
    <col min="15" max="15" width="7.7109375" style="67" customWidth="1"/>
    <col min="16" max="16" width="10.7109375" style="67" customWidth="1"/>
    <col min="17" max="17" width="4.421875" style="67" customWidth="1"/>
    <col min="18" max="18" width="14.7109375" style="67" customWidth="1"/>
    <col min="19" max="19" width="9.7109375" style="67" customWidth="1"/>
    <col min="20" max="20" width="2.7109375" style="67" customWidth="1"/>
    <col min="21" max="38" width="0" style="67" hidden="1" customWidth="1"/>
    <col min="39" max="39" width="2.28125" style="67" customWidth="1"/>
    <col min="40" max="41" width="2.7109375" style="67" customWidth="1"/>
    <col min="42" max="16384" width="11.421875" style="67" customWidth="1"/>
  </cols>
  <sheetData>
    <row r="1" spans="2:27" ht="14.25" customHeight="1">
      <c r="B1" s="563" t="str">
        <f>0!B240</f>
        <v>5. Yük, enine ve boyuna ısı etkisindeki ön germeli esnek cıvataların hesabı</v>
      </c>
      <c r="D1" s="68"/>
      <c r="E1" s="71"/>
      <c r="F1" s="71"/>
      <c r="G1" s="71"/>
      <c r="H1" s="71"/>
      <c r="I1" s="71"/>
      <c r="J1" s="71"/>
      <c r="L1" s="67" t="str">
        <f>Info!N11</f>
        <v>Copyright : M. G. Kutay , Ver 2013.01</v>
      </c>
      <c r="P1" s="564" t="str">
        <f>Info!B11</f>
        <v>www.guven-kutay.ch</v>
      </c>
      <c r="R1" s="68"/>
      <c r="T1" s="101"/>
      <c r="V1" s="113"/>
      <c r="W1" s="113"/>
      <c r="X1" s="113"/>
      <c r="Y1" s="113"/>
      <c r="Z1" s="113"/>
      <c r="AA1" s="101"/>
    </row>
    <row r="2" spans="2:27" ht="14.25" customHeight="1">
      <c r="B2" s="101" t="str">
        <f>0!B156</f>
        <v>Proje :</v>
      </c>
      <c r="C2" s="752">
        <v>1</v>
      </c>
      <c r="D2" s="752"/>
      <c r="E2" s="752"/>
      <c r="F2" s="752"/>
      <c r="G2" s="752"/>
      <c r="H2" s="752"/>
      <c r="I2" s="752"/>
      <c r="J2" s="101"/>
      <c r="K2" s="101"/>
      <c r="L2" s="101"/>
      <c r="M2" s="101"/>
      <c r="N2" s="101"/>
      <c r="O2" s="101"/>
      <c r="P2" s="101"/>
      <c r="Q2" s="101"/>
      <c r="R2" s="101"/>
      <c r="S2" s="101"/>
      <c r="T2" s="117"/>
      <c r="U2" s="101"/>
      <c r="V2" s="101"/>
      <c r="W2" s="101"/>
      <c r="X2" s="101"/>
      <c r="Y2" s="101"/>
      <c r="Z2" s="101"/>
      <c r="AA2" s="101"/>
    </row>
    <row r="3" spans="1:28" ht="14.25" customHeight="1">
      <c r="A3" s="118">
        <v>1</v>
      </c>
      <c r="B3" s="62" t="str">
        <f>0!B60</f>
        <v>İşletme değerleri :</v>
      </c>
      <c r="F3" s="118">
        <f>A38+1</f>
        <v>2</v>
      </c>
      <c r="G3" s="62" t="str">
        <f>0!B159</f>
        <v>Hesap için gereken diğer değerler :</v>
      </c>
      <c r="H3" s="62"/>
      <c r="I3" s="62"/>
      <c r="K3" s="101"/>
      <c r="L3" s="101"/>
      <c r="M3" s="118">
        <f>F3+1</f>
        <v>3</v>
      </c>
      <c r="N3" s="199" t="str">
        <f>0!B130</f>
        <v>Kontroller</v>
      </c>
      <c r="Q3" s="62"/>
      <c r="R3" s="62"/>
      <c r="T3" s="71"/>
      <c r="U3" s="71"/>
      <c r="V3" s="71"/>
      <c r="W3" s="71"/>
      <c r="X3" s="71"/>
      <c r="Y3" s="71"/>
      <c r="Z3" s="158" t="str">
        <f>0!B94</f>
        <v>Bölüm dairesi çapı</v>
      </c>
      <c r="AA3" s="414" t="s">
        <v>129</v>
      </c>
      <c r="AB3" s="469">
        <f>E27-0.64952*E28</f>
        <v>18.3762</v>
      </c>
    </row>
    <row r="4" spans="2:28" ht="14.25" customHeight="1">
      <c r="B4" s="120" t="str">
        <f>0!B61</f>
        <v>İşletme kuvveti</v>
      </c>
      <c r="C4" s="121"/>
      <c r="D4" s="122" t="s">
        <v>87</v>
      </c>
      <c r="E4" s="123">
        <v>31.8</v>
      </c>
      <c r="G4" s="183" t="str">
        <f>0!B120</f>
        <v>En küçük alan</v>
      </c>
      <c r="H4" s="476"/>
      <c r="I4" s="476"/>
      <c r="J4" s="479" t="s">
        <v>322</v>
      </c>
      <c r="K4" s="477">
        <f>D34^2/4*PI()</f>
        <v>181.45839167134645</v>
      </c>
      <c r="L4" s="101"/>
      <c r="M4" s="205">
        <f>M5+1</f>
        <v>1</v>
      </c>
      <c r="N4" s="63" t="str">
        <f>0!B193</f>
        <v>Montajda bileşik gerilim</v>
      </c>
      <c r="U4" s="71"/>
      <c r="V4" s="71"/>
      <c r="W4" s="71"/>
      <c r="X4" s="71"/>
      <c r="Y4" s="71"/>
      <c r="Z4" s="162" t="str">
        <f>0!B201</f>
        <v>Helis açısı</v>
      </c>
      <c r="AA4" s="237" t="s">
        <v>130</v>
      </c>
      <c r="AB4" s="307">
        <f>180*(ATAN(E28/PI()/AB3))/PI()</f>
        <v>2.4796238420945653</v>
      </c>
    </row>
    <row r="5" spans="2:28" ht="14.25" customHeight="1">
      <c r="B5" s="129"/>
      <c r="C5" s="130"/>
      <c r="D5" s="131" t="s">
        <v>88</v>
      </c>
      <c r="E5" s="132">
        <v>0</v>
      </c>
      <c r="F5" s="71"/>
      <c r="G5" s="183" t="str">
        <f>0!B166</f>
        <v>Şaft alanı</v>
      </c>
      <c r="H5" s="476"/>
      <c r="I5" s="476"/>
      <c r="J5" s="565" t="s">
        <v>323</v>
      </c>
      <c r="K5" s="477">
        <f>D32^2/4*PI()</f>
        <v>314.1592653589793</v>
      </c>
      <c r="L5" s="101"/>
      <c r="N5" s="505" t="str">
        <f>4!N5</f>
        <v>Vidanın momenti</v>
      </c>
      <c r="O5" s="474" t="s">
        <v>115</v>
      </c>
      <c r="P5" s="475">
        <f>K31*AB3/2*TAN((AB4+E39)*PI()/180)</f>
        <v>211.1616234384023</v>
      </c>
      <c r="Z5" s="162" t="str">
        <f>0!B165</f>
        <v>Şaft çapı</v>
      </c>
      <c r="AA5" s="252" t="s">
        <v>143</v>
      </c>
      <c r="AB5" s="311">
        <f>E27</f>
        <v>20</v>
      </c>
    </row>
    <row r="6" spans="2:28" ht="14.25" customHeight="1">
      <c r="B6" s="136" t="str">
        <f>0!B158</f>
        <v>Enine kuvvet</v>
      </c>
      <c r="C6" s="476"/>
      <c r="D6" s="131" t="s">
        <v>90</v>
      </c>
      <c r="E6" s="132">
        <v>0</v>
      </c>
      <c r="F6" s="71"/>
      <c r="G6" s="183" t="str">
        <f>0!B103</f>
        <v>d2 alanı</v>
      </c>
      <c r="H6" s="476"/>
      <c r="I6" s="476"/>
      <c r="J6" s="202" t="s">
        <v>324</v>
      </c>
      <c r="K6" s="477">
        <f>D33^2/4*PI()</f>
        <v>181.45839167134645</v>
      </c>
      <c r="L6" s="101"/>
      <c r="N6" s="566" t="str">
        <f>4!N6</f>
        <v>Torsiyon gerilimi</v>
      </c>
      <c r="O6" s="197" t="s">
        <v>119</v>
      </c>
      <c r="P6" s="219">
        <f>P5/K10*10^3</f>
        <v>306.2346566694412</v>
      </c>
      <c r="Z6" s="162" t="str">
        <f>0!B166</f>
        <v>Şaft alanı</v>
      </c>
      <c r="AA6" s="213" t="s">
        <v>146</v>
      </c>
      <c r="AB6" s="222">
        <f>PI()*D32^2/4</f>
        <v>314.1592653589793</v>
      </c>
    </row>
    <row r="7" spans="1:28" ht="14.25" customHeight="1">
      <c r="A7" s="480"/>
      <c r="B7" s="136" t="str">
        <f>0!B161</f>
        <v>Sürtünme katsayısı</v>
      </c>
      <c r="C7" s="476"/>
      <c r="D7" s="142" t="s">
        <v>92</v>
      </c>
      <c r="E7" s="143">
        <v>0</v>
      </c>
      <c r="F7" s="71"/>
      <c r="G7" s="162" t="str">
        <f>0!B117</f>
        <v>Diş dibi çapı</v>
      </c>
      <c r="H7" s="164"/>
      <c r="I7" s="164"/>
      <c r="J7" s="213" t="s">
        <v>325</v>
      </c>
      <c r="K7" s="305">
        <f>E27-1.22687*E28</f>
        <v>16.932825</v>
      </c>
      <c r="L7" s="101"/>
      <c r="N7" s="566" t="str">
        <f>4!N7</f>
        <v>Çekme gerilimi</v>
      </c>
      <c r="O7" s="193" t="s">
        <v>122</v>
      </c>
      <c r="P7" s="219">
        <f>K31/K4*10^3</f>
        <v>771.5267324399358</v>
      </c>
      <c r="Q7" s="567"/>
      <c r="Z7" s="162" t="str">
        <f>0!B195</f>
        <v>Gerilim çapı</v>
      </c>
      <c r="AA7" s="213" t="s">
        <v>152</v>
      </c>
      <c r="AB7" s="315">
        <f>(AB3+K7)/2</f>
        <v>17.654512500000003</v>
      </c>
    </row>
    <row r="8" spans="1:17" ht="14.25" customHeight="1">
      <c r="A8" s="480"/>
      <c r="B8" s="200" t="str">
        <f>0!B47</f>
        <v>Şartnameden</v>
      </c>
      <c r="C8" s="476"/>
      <c r="D8" s="131" t="s">
        <v>278</v>
      </c>
      <c r="E8" s="132">
        <v>0.1</v>
      </c>
      <c r="F8" s="71"/>
      <c r="G8" s="162" t="str">
        <f>0!B118</f>
        <v>Dişdibi alanı</v>
      </c>
      <c r="H8" s="164"/>
      <c r="I8" s="164"/>
      <c r="J8" s="213" t="s">
        <v>326</v>
      </c>
      <c r="K8" s="222">
        <f>K7^2*PI()/4</f>
        <v>225.18980318056623</v>
      </c>
      <c r="L8" s="786" t="s">
        <v>103</v>
      </c>
      <c r="N8" s="568" t="str">
        <f>4!N8</f>
        <v>Bileşik gerilim</v>
      </c>
      <c r="O8" s="483" t="s">
        <v>125</v>
      </c>
      <c r="P8" s="227">
        <f>(P7^2+3*P6^2)^(0.5)</f>
        <v>936.2651834313801</v>
      </c>
      <c r="Q8" s="567"/>
    </row>
    <row r="9" spans="2:17" ht="14.25" customHeight="1">
      <c r="B9" s="200" t="str">
        <f>0!B188</f>
        <v>Enine kayma</v>
      </c>
      <c r="C9" s="163"/>
      <c r="D9" s="131" t="s">
        <v>200</v>
      </c>
      <c r="E9" s="306"/>
      <c r="G9" s="200" t="str">
        <f>0!B67</f>
        <v>Eğilme Karşıkoyma-Mom.</v>
      </c>
      <c r="H9" s="163"/>
      <c r="I9" s="163"/>
      <c r="J9" s="213" t="s">
        <v>327</v>
      </c>
      <c r="K9" s="485">
        <f>PI()*D34^3/32</f>
        <v>344.7709441755582</v>
      </c>
      <c r="L9" s="786"/>
      <c r="M9" s="205">
        <f>M4+1</f>
        <v>2</v>
      </c>
      <c r="N9" s="569" t="str">
        <f>0!B101</f>
        <v>Montajda temas yüzeyi bası gerilimi</v>
      </c>
      <c r="O9" s="121"/>
      <c r="P9" s="101"/>
      <c r="Q9" s="788" t="s">
        <v>77</v>
      </c>
    </row>
    <row r="10" spans="2:17" ht="14.25" customHeight="1">
      <c r="B10" s="147">
        <f>IF(E9&lt;0.01,"",0!B66)</f>
      </c>
      <c r="C10" s="308"/>
      <c r="D10" s="309" t="s">
        <v>201</v>
      </c>
      <c r="E10" s="310"/>
      <c r="G10" s="200" t="str">
        <f>0!B223</f>
        <v>Tor. Karşıkoyma Momenti</v>
      </c>
      <c r="H10" s="163"/>
      <c r="I10" s="163"/>
      <c r="J10" s="213"/>
      <c r="K10" s="318">
        <f>D34^3/16*PI()</f>
        <v>689.5418883511164</v>
      </c>
      <c r="L10" s="786"/>
      <c r="N10" s="235" t="str">
        <f>4!N10</f>
        <v>Bası alanı</v>
      </c>
      <c r="O10" s="122" t="s">
        <v>131</v>
      </c>
      <c r="P10" s="236">
        <v>244</v>
      </c>
      <c r="Q10" s="788"/>
    </row>
    <row r="11" spans="1:28" ht="14.25" customHeight="1">
      <c r="A11" s="118">
        <f>A3+1</f>
        <v>2</v>
      </c>
      <c r="B11" s="152" t="str">
        <f>0!B73</f>
        <v>Cıvatanın değerleri :</v>
      </c>
      <c r="D11" s="759" t="s">
        <v>96</v>
      </c>
      <c r="E11" s="759"/>
      <c r="G11" s="487" t="str">
        <f>4!G12</f>
        <v>Sıkıştırma faktörü</v>
      </c>
      <c r="H11" s="321"/>
      <c r="I11" s="321" t="s">
        <v>102</v>
      </c>
      <c r="J11" s="570"/>
      <c r="K11" s="230">
        <v>1</v>
      </c>
      <c r="L11" s="786"/>
      <c r="N11" s="144" t="str">
        <f>4!N11</f>
        <v>Yüzey basıncı</v>
      </c>
      <c r="O11" s="242" t="s">
        <v>135</v>
      </c>
      <c r="P11" s="227">
        <f>K31/P10*10^3</f>
        <v>573.7704918032787</v>
      </c>
      <c r="Q11" s="788"/>
      <c r="Z11" s="101"/>
      <c r="AA11" s="101"/>
      <c r="AB11" s="101"/>
    </row>
    <row r="12" spans="2:28" ht="14.25" customHeight="1">
      <c r="B12" s="158" t="str">
        <f>0!B222</f>
        <v>Malzeme</v>
      </c>
      <c r="C12" s="571" t="s">
        <v>279</v>
      </c>
      <c r="D12" s="486" t="str">
        <f>0!B145</f>
        <v>Montaj</v>
      </c>
      <c r="E12" s="314" t="str">
        <f>0!B59</f>
        <v>İşletme</v>
      </c>
      <c r="G12" s="487" t="str">
        <f>4!G13</f>
        <v>max. Sıkma momenti</v>
      </c>
      <c r="H12" s="489"/>
      <c r="I12" s="489" t="s">
        <v>328</v>
      </c>
      <c r="J12" s="572"/>
      <c r="K12" s="188">
        <f>AB20*(0.159*E28+D39*0.577*AB3+(E30+E31)/4*D40)</f>
        <v>444.8867466812624</v>
      </c>
      <c r="L12" s="491"/>
      <c r="M12" s="205">
        <f>M9+1</f>
        <v>3</v>
      </c>
      <c r="N12" s="231" t="str">
        <f>0!B160</f>
        <v>İşletmede bileşik gerilim</v>
      </c>
      <c r="O12" s="232"/>
      <c r="P12" s="101"/>
      <c r="Q12" s="788"/>
      <c r="Z12" s="101"/>
      <c r="AA12" s="101"/>
      <c r="AB12" s="101"/>
    </row>
    <row r="13" spans="2:29" ht="14.25" customHeight="1">
      <c r="B13" s="162" t="str">
        <f>0!B204</f>
        <v>Isı  °C</v>
      </c>
      <c r="C13" s="164"/>
      <c r="D13" s="316">
        <v>20</v>
      </c>
      <c r="E13" s="165">
        <v>100</v>
      </c>
      <c r="G13" s="487"/>
      <c r="H13" s="495"/>
      <c r="I13" s="495"/>
      <c r="J13" s="573" t="str">
        <f>A42</f>
        <v>*)2</v>
      </c>
      <c r="K13" s="186">
        <v>440</v>
      </c>
      <c r="L13" s="783" t="s">
        <v>284</v>
      </c>
      <c r="N13" s="492" t="str">
        <f>4!N13</f>
        <v>Çekme gerilimi</v>
      </c>
      <c r="O13" s="250" t="s">
        <v>282</v>
      </c>
      <c r="P13" s="251">
        <f>K36/K4*10^3</f>
        <v>654.8047694081145</v>
      </c>
      <c r="Z13" s="101"/>
      <c r="AA13" s="101"/>
      <c r="AB13" s="101"/>
      <c r="AC13" s="101"/>
    </row>
    <row r="14" spans="2:29" ht="14.25" customHeight="1">
      <c r="B14" s="138" t="s">
        <v>280</v>
      </c>
      <c r="C14" s="164" t="s">
        <v>100</v>
      </c>
      <c r="D14" s="317">
        <v>1200</v>
      </c>
      <c r="E14" s="171">
        <v>1190</v>
      </c>
      <c r="G14" s="487" t="str">
        <f>4!G15</f>
        <v>min. Sıkma momenti</v>
      </c>
      <c r="H14" s="360"/>
      <c r="I14" s="360" t="s">
        <v>105</v>
      </c>
      <c r="J14" s="574"/>
      <c r="K14" s="188">
        <f>K13/K11</f>
        <v>440</v>
      </c>
      <c r="L14" s="783"/>
      <c r="N14" s="497" t="str">
        <f>4!N14</f>
        <v>Bileşik gerilim</v>
      </c>
      <c r="O14" s="226" t="s">
        <v>145</v>
      </c>
      <c r="P14" s="227">
        <f>(P13^2+3*P6^2)^(0.5)</f>
        <v>842.6792277468132</v>
      </c>
      <c r="Z14" s="101"/>
      <c r="AA14" s="101"/>
      <c r="AB14" s="101"/>
      <c r="AC14" s="101"/>
    </row>
    <row r="15" spans="2:29" ht="14.25" customHeight="1">
      <c r="B15" s="138" t="s">
        <v>283</v>
      </c>
      <c r="C15" s="164" t="s">
        <v>100</v>
      </c>
      <c r="D15" s="317">
        <v>1080</v>
      </c>
      <c r="E15" s="171">
        <v>1020</v>
      </c>
      <c r="G15" s="487" t="str">
        <f>4!G16</f>
        <v>Sıkma momenti</v>
      </c>
      <c r="H15" s="360"/>
      <c r="I15" s="360" t="s">
        <v>213</v>
      </c>
      <c r="J15" s="574"/>
      <c r="K15" s="501">
        <f>(K13+K14)/2</f>
        <v>440</v>
      </c>
      <c r="L15" s="783"/>
      <c r="M15" s="205">
        <f>M12+1</f>
        <v>4</v>
      </c>
      <c r="N15" s="152" t="str">
        <f>0!B102</f>
        <v>İşletmede temas yüzeyi bası gerilimi</v>
      </c>
      <c r="O15" s="287"/>
      <c r="Z15" s="101"/>
      <c r="AA15" s="101"/>
      <c r="AB15" s="101"/>
      <c r="AC15" s="101"/>
    </row>
    <row r="16" spans="2:29" ht="14.25" customHeight="1">
      <c r="B16" s="138" t="s">
        <v>93</v>
      </c>
      <c r="C16" s="164" t="s">
        <v>100</v>
      </c>
      <c r="D16" s="575">
        <v>210000</v>
      </c>
      <c r="E16" s="576">
        <v>207000</v>
      </c>
      <c r="G16" s="487"/>
      <c r="H16" s="218"/>
      <c r="I16" s="218" t="s">
        <v>215</v>
      </c>
      <c r="J16" s="574"/>
      <c r="K16" s="501">
        <f>K13-K15</f>
        <v>0</v>
      </c>
      <c r="L16" s="783"/>
      <c r="M16" s="68"/>
      <c r="N16" s="259" t="str">
        <f>4!N16</f>
        <v>Yüzey basıncı</v>
      </c>
      <c r="O16" s="259" t="s">
        <v>241</v>
      </c>
      <c r="P16" s="381">
        <f>K36/P10*10^3</f>
        <v>486.9664767029645</v>
      </c>
      <c r="Z16" s="101"/>
      <c r="AA16" s="101"/>
      <c r="AB16" s="101"/>
      <c r="AC16" s="101"/>
    </row>
    <row r="17" spans="2:29" ht="14.25" customHeight="1">
      <c r="B17" s="324" t="s">
        <v>207</v>
      </c>
      <c r="C17" s="177" t="s">
        <v>208</v>
      </c>
      <c r="D17" s="500"/>
      <c r="E17" s="326">
        <v>1.11E-05</v>
      </c>
      <c r="G17" s="344" t="s">
        <v>285</v>
      </c>
      <c r="H17" s="345"/>
      <c r="I17" s="345"/>
      <c r="J17" s="572" t="str">
        <f>D12</f>
        <v>Montaj</v>
      </c>
      <c r="K17" s="194">
        <f>AB56*10^3</f>
        <v>0.0036082788440554465</v>
      </c>
      <c r="L17" s="491"/>
      <c r="M17" s="205">
        <f>M15+1</f>
        <v>5</v>
      </c>
      <c r="N17" s="152" t="str">
        <f>0!B51</f>
        <v>İşletmede genlik gerilimi</v>
      </c>
      <c r="O17" s="287"/>
      <c r="Z17" s="101"/>
      <c r="AA17" s="101"/>
      <c r="AB17" s="101"/>
      <c r="AC17" s="101"/>
    </row>
    <row r="18" spans="1:16" ht="14.25" customHeight="1">
      <c r="A18" s="118">
        <f>A11+1</f>
        <v>3</v>
      </c>
      <c r="B18" s="63" t="str">
        <f>0!B72</f>
        <v>Bağlanan parçaların değerleri :</v>
      </c>
      <c r="C18" s="71"/>
      <c r="D18" s="759" t="s">
        <v>211</v>
      </c>
      <c r="E18" s="759"/>
      <c r="G18" s="344" t="s">
        <v>287</v>
      </c>
      <c r="H18" s="345"/>
      <c r="I18" s="345"/>
      <c r="J18" s="577" t="str">
        <f>E12</f>
        <v>İşletme</v>
      </c>
      <c r="K18" s="194">
        <f>AB73*10^3</f>
        <v>0.003660572740346105</v>
      </c>
      <c r="L18" s="491"/>
      <c r="N18" s="505" t="str">
        <f>4!N18</f>
        <v>Genlik kuvveti</v>
      </c>
      <c r="O18" s="209" t="s">
        <v>154</v>
      </c>
      <c r="P18" s="265">
        <f>0.5*K25*(E4-E5)*10^3</f>
        <v>2033.4650808129618</v>
      </c>
    </row>
    <row r="19" spans="2:28" ht="14.25" customHeight="1">
      <c r="B19" s="124" t="str">
        <f>0!B57</f>
        <v>Tanımı :</v>
      </c>
      <c r="C19" s="503" t="str">
        <f>0!B34</f>
        <v>1.Parça  *)1 </v>
      </c>
      <c r="D19" s="126" t="str">
        <f>0!B36</f>
        <v>2. Parça</v>
      </c>
      <c r="E19" s="127" t="str">
        <f>0!B37</f>
        <v>3. Parça</v>
      </c>
      <c r="F19" s="785">
        <f>IF(E29=E34,"",B56)</f>
      </c>
      <c r="G19" s="223" t="str">
        <f>4!G20</f>
        <v>Paraboloid çapı</v>
      </c>
      <c r="H19" s="356"/>
      <c r="I19" s="356" t="s">
        <v>290</v>
      </c>
      <c r="J19" s="578"/>
      <c r="K19" s="204">
        <f>0.57735*E29+E30</f>
        <v>105.05550000000001</v>
      </c>
      <c r="L19" s="491"/>
      <c r="N19" s="488" t="str">
        <f>4!N19</f>
        <v>Genlik gerilimi</v>
      </c>
      <c r="O19" s="218" t="s">
        <v>157</v>
      </c>
      <c r="P19" s="266">
        <f>P18/K4</f>
        <v>11.206233352359533</v>
      </c>
      <c r="Q19" s="787" t="s">
        <v>54</v>
      </c>
      <c r="Z19" s="442" t="s">
        <v>288</v>
      </c>
      <c r="AA19" s="507" t="s">
        <v>289</v>
      </c>
      <c r="AB19" s="508">
        <f>0.9*D15/(1+3*(4/D34*(0.159*E28+0.577*D39*AB3))^2)^(0.5)</f>
        <v>773.4481788334638</v>
      </c>
    </row>
    <row r="20" spans="1:28" ht="14.25" customHeight="1">
      <c r="A20" s="776" t="str">
        <f>D12</f>
        <v>Montaj</v>
      </c>
      <c r="B20" s="133" t="str">
        <f>0!B222</f>
        <v>Malzeme</v>
      </c>
      <c r="C20" s="134" t="s">
        <v>329</v>
      </c>
      <c r="D20" s="134" t="s">
        <v>330</v>
      </c>
      <c r="E20" s="135"/>
      <c r="F20" s="785"/>
      <c r="G20" s="223" t="str">
        <f>4!G21</f>
        <v>Paraboloid çapı</v>
      </c>
      <c r="H20" s="360"/>
      <c r="I20" s="360" t="s">
        <v>223</v>
      </c>
      <c r="J20" s="579"/>
      <c r="K20" s="207">
        <v>35</v>
      </c>
      <c r="L20" s="491"/>
      <c r="N20" s="580"/>
      <c r="O20" s="218" t="s">
        <v>249</v>
      </c>
      <c r="P20" s="266">
        <f>IF(T30&gt;1.5,AB36*P18*#REF!/K9,0)</f>
        <v>0</v>
      </c>
      <c r="Q20" s="787"/>
      <c r="Z20" s="217" t="s">
        <v>235</v>
      </c>
      <c r="AA20" s="332"/>
      <c r="AB20" s="422">
        <f>AB19*K4/10^3</f>
        <v>140.34866257225227</v>
      </c>
    </row>
    <row r="21" spans="1:17" ht="14.25" customHeight="1">
      <c r="A21" s="776"/>
      <c r="B21" s="342" t="s">
        <v>91</v>
      </c>
      <c r="C21" s="139">
        <v>20</v>
      </c>
      <c r="D21" s="139">
        <v>110</v>
      </c>
      <c r="E21" s="140"/>
      <c r="F21" s="785"/>
      <c r="G21" s="223" t="str">
        <f>4!G22</f>
        <v>Eşdeğer alan</v>
      </c>
      <c r="H21" s="360"/>
      <c r="I21" s="360" t="s">
        <v>121</v>
      </c>
      <c r="J21" s="368"/>
      <c r="K21" s="512">
        <f>IF(K20&lt;E30,PI()/4*(K20^2-E30^2),IF(K20&lt;E30+E29,PI()/4*(E30^2-E31^2)+PI()/8*E30*(K20-E30)*(((E29*E30/K20^2)^(1/3)+1)^2-1),PI()/4*(E30^2-E31^2)+PI()/8*E30*E29*(((E29*E30/(E30+E29)^2)^(1/3)+1)^2-1)))</f>
        <v>693.4876888924423</v>
      </c>
      <c r="L21" s="491"/>
      <c r="N21" s="581"/>
      <c r="O21" s="218" t="s">
        <v>331</v>
      </c>
      <c r="P21" s="393">
        <f>IF(P20&gt;0.1,P19+P20,P19)</f>
        <v>11.206233352359533</v>
      </c>
      <c r="Q21" s="787"/>
    </row>
    <row r="22" spans="1:17" ht="14.25" customHeight="1">
      <c r="A22" s="776"/>
      <c r="B22" s="347" t="s">
        <v>93</v>
      </c>
      <c r="C22" s="348">
        <v>210000</v>
      </c>
      <c r="D22" s="348">
        <v>210000</v>
      </c>
      <c r="E22" s="582"/>
      <c r="F22" s="785"/>
      <c r="G22" s="344" t="s">
        <v>292</v>
      </c>
      <c r="H22" s="345"/>
      <c r="I22" s="345"/>
      <c r="J22" s="572" t="str">
        <f>D12</f>
        <v>Montaj</v>
      </c>
      <c r="K22" s="225">
        <f>AB61</f>
        <v>0.0008926584119125312</v>
      </c>
      <c r="L22" s="781" t="s">
        <v>128</v>
      </c>
      <c r="N22" s="497" t="str">
        <f>4!N20</f>
        <v>Genlik mukavemeti</v>
      </c>
      <c r="O22" s="226" t="s">
        <v>161</v>
      </c>
      <c r="P22" s="272">
        <v>40</v>
      </c>
      <c r="Q22" s="787"/>
    </row>
    <row r="23" spans="1:21" ht="14.25" customHeight="1">
      <c r="A23" s="780" t="str">
        <f>E12</f>
        <v>İşletme</v>
      </c>
      <c r="B23" s="347" t="s">
        <v>219</v>
      </c>
      <c r="C23" s="354">
        <v>20</v>
      </c>
      <c r="D23" s="354">
        <v>20</v>
      </c>
      <c r="E23" s="355"/>
      <c r="F23" s="785"/>
      <c r="G23" s="344" t="s">
        <v>294</v>
      </c>
      <c r="H23" s="345"/>
      <c r="I23" s="345"/>
      <c r="J23" s="577" t="str">
        <f>E12</f>
        <v>İşletme</v>
      </c>
      <c r="K23" s="518">
        <f>AB79</f>
        <v>0.0012581091711518896</v>
      </c>
      <c r="L23" s="781"/>
      <c r="M23" s="205">
        <f>M17+1</f>
        <v>6</v>
      </c>
      <c r="N23" s="152" t="str">
        <f>0!B107</f>
        <v>İşletmedeki toplam bileşik gerilim</v>
      </c>
      <c r="O23" s="300"/>
      <c r="P23" s="68"/>
      <c r="Q23" s="287"/>
      <c r="U23" s="71"/>
    </row>
    <row r="24" spans="1:16" ht="14.25" customHeight="1">
      <c r="A24" s="780"/>
      <c r="B24" s="347" t="s">
        <v>222</v>
      </c>
      <c r="C24" s="348">
        <v>149000</v>
      </c>
      <c r="D24" s="348">
        <v>149000</v>
      </c>
      <c r="E24" s="349"/>
      <c r="F24" s="785"/>
      <c r="G24" s="519" t="str">
        <f>4!G25</f>
        <v>Kuvvet dağılım faktörü</v>
      </c>
      <c r="H24" s="379"/>
      <c r="I24" s="379" t="s">
        <v>127</v>
      </c>
      <c r="J24" s="570"/>
      <c r="K24" s="230">
        <v>0.5</v>
      </c>
      <c r="L24" s="781"/>
      <c r="M24" s="68"/>
      <c r="N24" s="365" t="str">
        <f>4!N22</f>
        <v>Çekme gerilimi</v>
      </c>
      <c r="O24" s="583" t="s">
        <v>291</v>
      </c>
      <c r="P24" s="251">
        <f>P13</f>
        <v>654.8047694081145</v>
      </c>
    </row>
    <row r="25" spans="1:31" ht="14.25" customHeight="1">
      <c r="A25" s="780"/>
      <c r="B25" s="362" t="s">
        <v>207</v>
      </c>
      <c r="C25" s="516">
        <v>1.1E-05</v>
      </c>
      <c r="D25" s="516">
        <v>1.1E-05</v>
      </c>
      <c r="E25" s="364"/>
      <c r="F25" s="785"/>
      <c r="G25" s="519" t="str">
        <f>4!G26</f>
        <v>Kuvvet oranı</v>
      </c>
      <c r="H25" s="224"/>
      <c r="I25" s="224" t="s">
        <v>295</v>
      </c>
      <c r="J25" s="577"/>
      <c r="K25" s="518">
        <f>K24*K23/(K18+K23)</f>
        <v>0.12789088558572087</v>
      </c>
      <c r="L25" s="521"/>
      <c r="M25" s="68"/>
      <c r="N25" s="430" t="str">
        <f>0!B64</f>
        <v>Eğilme gerilimi</v>
      </c>
      <c r="O25" s="218" t="s">
        <v>332</v>
      </c>
      <c r="P25" s="508">
        <f>IF(E9&lt;0.001,0,3*E16*E9*E27/E29^2)</f>
        <v>0</v>
      </c>
      <c r="Z25" s="71"/>
      <c r="AA25" s="71"/>
      <c r="AD25" s="115" t="s">
        <v>177</v>
      </c>
      <c r="AE25" s="296" t="e">
        <f>E4*#REF!*AB36/K9*10^3</f>
        <v>#REF!</v>
      </c>
    </row>
    <row r="26" spans="1:32" ht="14.25" customHeight="1">
      <c r="A26" s="118">
        <f>A18+1</f>
        <v>4</v>
      </c>
      <c r="B26" s="62" t="str">
        <f>0!B184</f>
        <v>Cıvata, Vida ve Konstruksiyon değerleri :</v>
      </c>
      <c r="C26" s="187"/>
      <c r="D26" s="101"/>
      <c r="F26" s="785"/>
      <c r="G26" s="519" t="str">
        <f>4!G27</f>
        <v>Oturma değeri</v>
      </c>
      <c r="H26" s="356"/>
      <c r="I26" s="356" t="s">
        <v>133</v>
      </c>
      <c r="J26" s="570"/>
      <c r="K26" s="241">
        <v>0.008</v>
      </c>
      <c r="L26" s="783" t="s">
        <v>134</v>
      </c>
      <c r="M26" s="68"/>
      <c r="N26" s="372" t="str">
        <f>4!N23</f>
        <v>Bileşik gerilim</v>
      </c>
      <c r="O26" s="584" t="s">
        <v>293</v>
      </c>
      <c r="P26" s="227">
        <f>((P13+P25)^2+3*P6^2)^(0.5)</f>
        <v>842.6792277468132</v>
      </c>
      <c r="Z26" s="71"/>
      <c r="AA26" s="71"/>
      <c r="AD26" s="523"/>
      <c r="AE26" s="523"/>
      <c r="AF26" s="523"/>
    </row>
    <row r="27" spans="1:32" ht="14.25" customHeight="1">
      <c r="A27" s="782" t="s">
        <v>106</v>
      </c>
      <c r="B27" s="158" t="str">
        <f>0!B152</f>
        <v>Anma çapı</v>
      </c>
      <c r="C27" s="470"/>
      <c r="D27" s="190" t="s">
        <v>107</v>
      </c>
      <c r="E27" s="377">
        <v>20</v>
      </c>
      <c r="F27" s="785"/>
      <c r="G27" s="519" t="str">
        <f>4!G28</f>
        <v>Oturma kuvveti</v>
      </c>
      <c r="H27" s="360"/>
      <c r="I27" s="360" t="s">
        <v>137</v>
      </c>
      <c r="J27" s="368"/>
      <c r="K27" s="526">
        <f>K26*(1/(K17+K22))</f>
        <v>1.7774075809193899</v>
      </c>
      <c r="L27" s="783"/>
      <c r="M27" s="205">
        <f>M23+1</f>
        <v>7</v>
      </c>
      <c r="N27" s="152" t="str">
        <f>0!B122</f>
        <v>Sıkıştırma kuvvetleri</v>
      </c>
      <c r="O27" s="231" t="str">
        <f>E12</f>
        <v>İşletme</v>
      </c>
      <c r="P27" s="71"/>
      <c r="Z27" s="71"/>
      <c r="AA27" s="71"/>
      <c r="AC27" s="523"/>
      <c r="AD27" s="523"/>
      <c r="AE27" s="523"/>
      <c r="AF27" s="523"/>
    </row>
    <row r="28" spans="1:32" ht="14.25" customHeight="1">
      <c r="A28" s="782"/>
      <c r="B28" s="162" t="str">
        <f>0!B200</f>
        <v>Adım veya hatve</v>
      </c>
      <c r="C28" s="476"/>
      <c r="D28" s="195" t="s">
        <v>109</v>
      </c>
      <c r="E28" s="378">
        <v>2.5</v>
      </c>
      <c r="F28" s="785"/>
      <c r="G28" s="519"/>
      <c r="H28" s="395"/>
      <c r="I28" s="395" t="s">
        <v>228</v>
      </c>
      <c r="J28" s="368"/>
      <c r="K28" s="529">
        <f>P65</f>
        <v>-0.11544</v>
      </c>
      <c r="L28" s="783"/>
      <c r="N28" s="235" t="str">
        <f>4!N25</f>
        <v>Enine kuvvettem</v>
      </c>
      <c r="O28" s="122" t="s">
        <v>231</v>
      </c>
      <c r="P28" s="406">
        <f>IF(E6&lt;=0,0,E6/E7)</f>
        <v>0</v>
      </c>
      <c r="R28" s="101"/>
      <c r="S28" s="101"/>
      <c r="T28" s="101"/>
      <c r="Z28" s="71"/>
      <c r="AA28" s="115" t="s">
        <v>184</v>
      </c>
      <c r="AB28" s="382">
        <f>1000*D24/C24</f>
        <v>1000</v>
      </c>
      <c r="AC28" s="523"/>
      <c r="AD28" s="523"/>
      <c r="AE28" s="523"/>
      <c r="AF28" s="523"/>
    </row>
    <row r="29" spans="1:28" ht="14.25" customHeight="1">
      <c r="A29" s="782"/>
      <c r="B29" s="200" t="str">
        <f>0!B106</f>
        <v>Toplam sıkılan boy</v>
      </c>
      <c r="C29" s="476"/>
      <c r="D29" s="213" t="s">
        <v>117</v>
      </c>
      <c r="E29" s="204">
        <f>SUM(C21:E21)</f>
        <v>130</v>
      </c>
      <c r="F29" s="785"/>
      <c r="G29" s="519"/>
      <c r="H29" s="218"/>
      <c r="I29" s="218" t="s">
        <v>229</v>
      </c>
      <c r="J29" s="530"/>
      <c r="K29" s="399">
        <f>K28/(K18+K23)*10^3</f>
        <v>-23469.702265183176</v>
      </c>
      <c r="L29" s="783"/>
      <c r="N29" s="144" t="str">
        <f>4!N26</f>
        <v>Sıkıştırma kuvveti</v>
      </c>
      <c r="O29" s="242" t="s">
        <v>296</v>
      </c>
      <c r="P29" s="585">
        <f>E8+P28</f>
        <v>0.1</v>
      </c>
      <c r="R29" s="101"/>
      <c r="S29" s="101"/>
      <c r="T29" s="101"/>
      <c r="Z29" s="71"/>
      <c r="AA29" s="115" t="s">
        <v>185</v>
      </c>
      <c r="AB29" s="386">
        <f>C21</f>
        <v>20</v>
      </c>
    </row>
    <row r="30" spans="1:32" ht="14.25" customHeight="1">
      <c r="A30" s="782"/>
      <c r="B30" s="136" t="str">
        <f>0!B133</f>
        <v>Kafaaltı dış çapı</v>
      </c>
      <c r="C30" s="476"/>
      <c r="D30" s="213" t="s">
        <v>123</v>
      </c>
      <c r="E30" s="394">
        <v>30</v>
      </c>
      <c r="F30" s="785"/>
      <c r="G30" s="519" t="str">
        <f>4!G31</f>
        <v>Hesap. ön germe kuvveti</v>
      </c>
      <c r="H30" s="360"/>
      <c r="I30" s="360" t="s">
        <v>235</v>
      </c>
      <c r="J30" s="530"/>
      <c r="K30" s="416">
        <f>K13/(0.159*E28+0.577*D39*AB3+(E30+E31)*D40/4)</f>
        <v>138.80703795394024</v>
      </c>
      <c r="L30" s="101"/>
      <c r="M30" s="118">
        <f>M3+1</f>
        <v>4</v>
      </c>
      <c r="N30" s="63" t="str">
        <f>0!B86</f>
        <v>Sonuçlar</v>
      </c>
      <c r="O30" s="71"/>
      <c r="P30" s="71"/>
      <c r="Q30" s="71"/>
      <c r="R30" s="101"/>
      <c r="S30" s="101"/>
      <c r="T30" s="101"/>
      <c r="U30" s="68"/>
      <c r="Z30" s="71"/>
      <c r="AA30" s="115" t="s">
        <v>186</v>
      </c>
      <c r="AB30" s="386">
        <f>PI()*E27^4/64</f>
        <v>7853.981633974483</v>
      </c>
      <c r="AF30" s="523"/>
    </row>
    <row r="31" spans="1:32" ht="14.25" customHeight="1">
      <c r="A31" s="782"/>
      <c r="B31" s="200" t="str">
        <f>0!B76</f>
        <v>Geçiş deliği çapı</v>
      </c>
      <c r="C31" s="476"/>
      <c r="D31" s="213" t="s">
        <v>126</v>
      </c>
      <c r="E31" s="394">
        <v>20</v>
      </c>
      <c r="F31" s="785"/>
      <c r="G31" s="519" t="str">
        <f>4!G32</f>
        <v>Alınan ön germe kuvveti</v>
      </c>
      <c r="H31" s="360"/>
      <c r="I31" s="360" t="s">
        <v>235</v>
      </c>
      <c r="J31" s="586" t="str">
        <f>A42</f>
        <v>*)2</v>
      </c>
      <c r="K31" s="409">
        <v>140</v>
      </c>
      <c r="L31" s="784" t="s">
        <v>284</v>
      </c>
      <c r="M31" s="323">
        <f>AK22+1</f>
        <v>1</v>
      </c>
      <c r="N31" s="62" t="str">
        <f>0!B88</f>
        <v>Montajdaki değerler :</v>
      </c>
      <c r="O31" s="71"/>
      <c r="P31" s="71"/>
      <c r="Q31" s="101"/>
      <c r="Z31" s="101"/>
      <c r="AA31" s="115" t="s">
        <v>187</v>
      </c>
      <c r="AB31" s="386">
        <f>PI()*K7^4/64</f>
        <v>4035.4091895520755</v>
      </c>
      <c r="AF31" s="523"/>
    </row>
    <row r="32" spans="1:32" ht="14.25" customHeight="1">
      <c r="A32" s="782"/>
      <c r="B32" s="183" t="s">
        <v>333</v>
      </c>
      <c r="C32" s="476"/>
      <c r="D32" s="531">
        <v>20</v>
      </c>
      <c r="E32" s="207">
        <v>15</v>
      </c>
      <c r="F32" s="785"/>
      <c r="G32" s="519" t="str">
        <f>4!G33</f>
        <v>max. Ön germe kuvveti</v>
      </c>
      <c r="H32" s="360"/>
      <c r="I32" s="360" t="s">
        <v>153</v>
      </c>
      <c r="J32" s="530"/>
      <c r="K32" s="539">
        <f>K31-K27+K29/10^3</f>
        <v>114.75289015389743</v>
      </c>
      <c r="L32" s="784"/>
      <c r="M32" s="254"/>
      <c r="N32" s="532" t="s">
        <v>116</v>
      </c>
      <c r="O32" s="533">
        <f>D15/P8</f>
        <v>1.153519343784457</v>
      </c>
      <c r="P32" s="63" t="str">
        <f>IF(O32&lt;1,0!B254,0!B253)</f>
        <v>  Yeterli</v>
      </c>
      <c r="Q32" s="101"/>
      <c r="Z32" s="101"/>
      <c r="AA32" s="115" t="s">
        <v>188</v>
      </c>
      <c r="AB32" s="386">
        <f>AB88*AB31*E16</f>
        <v>25.927931933908663</v>
      </c>
      <c r="AF32" s="523"/>
    </row>
    <row r="33" spans="1:28" ht="14.25" customHeight="1">
      <c r="A33" s="782"/>
      <c r="B33" s="183" t="s">
        <v>334</v>
      </c>
      <c r="C33" s="476"/>
      <c r="D33" s="531">
        <v>15.2</v>
      </c>
      <c r="E33" s="207">
        <v>115</v>
      </c>
      <c r="F33" s="785"/>
      <c r="G33" s="519" t="str">
        <f>4!G34</f>
        <v>Ön germe kuvveti, İş.</v>
      </c>
      <c r="H33" s="360"/>
      <c r="I33" s="360" t="s">
        <v>156</v>
      </c>
      <c r="J33" s="530"/>
      <c r="K33" s="410">
        <f>K31/K11-K27+K29/10^3</f>
        <v>114.75289015389743</v>
      </c>
      <c r="L33" s="784"/>
      <c r="M33" s="68"/>
      <c r="N33" s="536" t="s">
        <v>132</v>
      </c>
      <c r="O33" s="537">
        <f>E36/P11</f>
        <v>1.22</v>
      </c>
      <c r="P33" s="63" t="str">
        <f>IF(O33&lt;1,0!B254,0!B253)</f>
        <v>  Yeterli</v>
      </c>
      <c r="Q33" s="101"/>
      <c r="V33" s="101"/>
      <c r="W33" s="101"/>
      <c r="X33" s="101"/>
      <c r="Y33" s="101"/>
      <c r="Z33" s="101"/>
      <c r="AA33" s="115" t="s">
        <v>189</v>
      </c>
      <c r="AB33" s="382">
        <f>PI()*((E30+AB29)^4-E31^4)/64</f>
        <v>298942.17594315374</v>
      </c>
    </row>
    <row r="34" spans="1:28" ht="14.25" customHeight="1">
      <c r="A34" s="782"/>
      <c r="B34" s="144" t="s">
        <v>302</v>
      </c>
      <c r="C34" s="540"/>
      <c r="D34" s="541">
        <f>MIN(D33,K7)</f>
        <v>15.2</v>
      </c>
      <c r="E34" s="587">
        <f>SUM(E32:E33)</f>
        <v>130</v>
      </c>
      <c r="F34" s="785"/>
      <c r="G34" s="519" t="str">
        <f>4!G35</f>
        <v>Cıvata ek kuvveti</v>
      </c>
      <c r="H34" s="356"/>
      <c r="I34" s="356" t="s">
        <v>245</v>
      </c>
      <c r="J34" s="588"/>
      <c r="K34" s="248">
        <f>E4*K25*10^3</f>
        <v>4066.9301616259236</v>
      </c>
      <c r="L34" s="784"/>
      <c r="M34" s="323">
        <f>M31+1</f>
        <v>2</v>
      </c>
      <c r="N34" s="62" t="str">
        <f>0!B87</f>
        <v>İşletmedeki değerler :</v>
      </c>
      <c r="O34" s="71"/>
      <c r="P34" s="71"/>
      <c r="Q34" s="101"/>
      <c r="V34" s="101"/>
      <c r="W34" s="101"/>
      <c r="X34" s="101"/>
      <c r="Y34" s="101"/>
      <c r="Z34" s="101"/>
      <c r="AA34" s="115" t="s">
        <v>233</v>
      </c>
      <c r="AB34" s="407">
        <f>PI()*(K20^4-E31^4)/64</f>
        <v>65807.77580029401</v>
      </c>
    </row>
    <row r="35" spans="1:28" ht="14.25" customHeight="1">
      <c r="A35" s="782"/>
      <c r="B35" s="70" t="str">
        <f>0!B114</f>
        <v>Sınır yüzey basıncı</v>
      </c>
      <c r="C35" s="71"/>
      <c r="E35" s="151" t="s">
        <v>62</v>
      </c>
      <c r="G35" s="519" t="str">
        <f>4!G36</f>
        <v>Plakalarca alınan kuvvet</v>
      </c>
      <c r="H35" s="360"/>
      <c r="I35" s="360" t="s">
        <v>247</v>
      </c>
      <c r="J35" s="588"/>
      <c r="K35" s="248">
        <f>E4*10^3-K34</f>
        <v>27733.069838374075</v>
      </c>
      <c r="L35" s="101"/>
      <c r="M35" s="254"/>
      <c r="N35" s="532" t="s">
        <v>142</v>
      </c>
      <c r="O35" s="533">
        <f>0.9*E15/P14</f>
        <v>1.0893824954657803</v>
      </c>
      <c r="P35" s="63" t="str">
        <f>IF(O35&lt;1,0!B254,0!B253)</f>
        <v>  Yeterli</v>
      </c>
      <c r="Q35" s="101"/>
      <c r="U35" s="101"/>
      <c r="Z35" s="101"/>
      <c r="AA35" s="115" t="s">
        <v>190</v>
      </c>
      <c r="AB35" s="382">
        <f>AB34*AB28*E29/E16</f>
        <v>41328.55485042619</v>
      </c>
    </row>
    <row r="36" spans="2:28" ht="14.25" customHeight="1">
      <c r="B36" s="545" t="str">
        <f>D12</f>
        <v>Montaj</v>
      </c>
      <c r="C36" s="470"/>
      <c r="D36" s="414" t="s">
        <v>97</v>
      </c>
      <c r="E36" s="415">
        <v>700</v>
      </c>
      <c r="G36" s="589" t="str">
        <f>4!G37</f>
        <v>max. Cıvata kuvveti</v>
      </c>
      <c r="H36" s="242"/>
      <c r="I36" s="242" t="s">
        <v>160</v>
      </c>
      <c r="J36" s="540"/>
      <c r="K36" s="549">
        <f>K32+K34/10^3</f>
        <v>118.81982031552334</v>
      </c>
      <c r="L36" s="101"/>
      <c r="M36" s="71"/>
      <c r="N36" s="543" t="s">
        <v>150</v>
      </c>
      <c r="O36" s="544">
        <f>E37/P16</f>
        <v>1.4374706134586341</v>
      </c>
      <c r="P36" s="63" t="str">
        <f>IF(O36&lt;1,0!B254,0!B253)</f>
        <v>  Yeterli</v>
      </c>
      <c r="Q36" s="101"/>
      <c r="U36" s="101"/>
      <c r="Z36" s="101"/>
      <c r="AA36" s="283" t="s">
        <v>239</v>
      </c>
      <c r="AB36" s="419">
        <f>E29*AB31/AB32/AB35</f>
        <v>0.48956778657157124</v>
      </c>
    </row>
    <row r="37" spans="1:33" ht="14.25" customHeight="1">
      <c r="A37" s="71"/>
      <c r="B37" s="546" t="str">
        <f>E12</f>
        <v>İşletme</v>
      </c>
      <c r="C37" s="547">
        <f>E36*C24/C22</f>
        <v>496.6666666666667</v>
      </c>
      <c r="D37" s="267" t="s">
        <v>241</v>
      </c>
      <c r="E37" s="421">
        <v>700</v>
      </c>
      <c r="F37" s="71"/>
      <c r="L37" s="101"/>
      <c r="M37" s="550"/>
      <c r="N37" s="543" t="s">
        <v>303</v>
      </c>
      <c r="O37" s="544">
        <f>P22/P19</f>
        <v>3.5694420009179786</v>
      </c>
      <c r="P37" s="62" t="str">
        <f>IF(O37&lt;1,0!B254,0!B253)</f>
        <v>  Yeterli</v>
      </c>
      <c r="Q37" s="101"/>
      <c r="U37" s="101"/>
      <c r="Z37" s="101"/>
      <c r="AA37" s="115" t="s">
        <v>192</v>
      </c>
      <c r="AC37" s="101"/>
      <c r="AD37" s="101"/>
      <c r="AE37" s="101"/>
      <c r="AF37" s="101"/>
      <c r="AG37" s="101"/>
    </row>
    <row r="38" spans="1:33" ht="14.25" customHeight="1">
      <c r="A38" s="118">
        <f>A35+1</f>
        <v>1</v>
      </c>
      <c r="B38" s="62" t="str">
        <f>0!B163</f>
        <v>Sürtünme katsayıları ve açıları :</v>
      </c>
      <c r="E38" s="119" t="s">
        <v>98</v>
      </c>
      <c r="F38" s="71"/>
      <c r="G38" s="551" t="str">
        <f>0!B40</f>
        <v>Dikkat!</v>
      </c>
      <c r="H38" s="551"/>
      <c r="I38" s="551"/>
      <c r="J38" s="552"/>
      <c r="K38" s="552"/>
      <c r="L38" s="101"/>
      <c r="M38" s="68"/>
      <c r="N38" s="543" t="s">
        <v>304</v>
      </c>
      <c r="O38" s="544">
        <f>IF(K33/P29&lt;0,-1,K33/P29)</f>
        <v>1147.5289015389742</v>
      </c>
      <c r="P38" s="63" t="str">
        <f>IF(O38&lt;0.99,0!B254,0!B253)</f>
        <v>  Yeterli</v>
      </c>
      <c r="Q38" s="101"/>
      <c r="Z38" s="101"/>
      <c r="AA38" s="115" t="s">
        <v>193</v>
      </c>
      <c r="AB38" s="382">
        <f>PI()/32*(E30^4-E31^4)/E30</f>
        <v>2127.120025868089</v>
      </c>
      <c r="AC38" s="101"/>
      <c r="AD38" s="101"/>
      <c r="AE38" s="101"/>
      <c r="AF38" s="101"/>
      <c r="AG38" s="101"/>
    </row>
    <row r="39" spans="2:33" ht="14.25" customHeight="1">
      <c r="B39" s="553" t="str">
        <f>0!B108</f>
        <v>Vida</v>
      </c>
      <c r="C39" s="554" t="s">
        <v>305</v>
      </c>
      <c r="D39" s="555">
        <v>0.12</v>
      </c>
      <c r="E39" s="169">
        <f>180*(ATAN(D39))/PI()</f>
        <v>6.84277341263094</v>
      </c>
      <c r="F39" s="71"/>
      <c r="G39" s="779">
        <f>IF(K33&gt;=P29,"",B61)</f>
      </c>
      <c r="H39" s="779"/>
      <c r="I39" s="779"/>
      <c r="J39" s="779"/>
      <c r="K39" s="779"/>
      <c r="L39" s="101"/>
      <c r="M39" s="68"/>
      <c r="N39" s="536" t="s">
        <v>243</v>
      </c>
      <c r="O39" s="537">
        <f>IF(E9&gt;0.001,E10/P26,"")</f>
      </c>
      <c r="P39" s="62">
        <f>IF(O39="","",IF(O39&lt;0.99,0!B254,0!B253))</f>
      </c>
      <c r="Q39" s="101"/>
      <c r="Z39" s="71"/>
      <c r="AA39" s="101"/>
      <c r="AB39" s="101"/>
      <c r="AC39" s="101"/>
      <c r="AD39" s="101"/>
      <c r="AE39" s="101"/>
      <c r="AF39" s="101"/>
      <c r="AG39" s="101"/>
    </row>
    <row r="40" spans="2:33" ht="14.25" customHeight="1">
      <c r="B40" s="147" t="str">
        <f>0!B132</f>
        <v>Kafa</v>
      </c>
      <c r="C40" s="556" t="s">
        <v>306</v>
      </c>
      <c r="D40" s="557">
        <v>0.12</v>
      </c>
      <c r="E40" s="175">
        <f>180*(ATAN(D40))/PI()</f>
        <v>6.84277341263094</v>
      </c>
      <c r="F40" s="101"/>
      <c r="G40" s="779"/>
      <c r="H40" s="779"/>
      <c r="I40" s="779"/>
      <c r="J40" s="779"/>
      <c r="K40" s="779"/>
      <c r="L40" s="101"/>
      <c r="N40" s="779" t="str">
        <f>IF(MIN(O32:O33,O35:O39)&lt;0.999,0!B251,0!B250)</f>
        <v>Bütün değerler yeterli. Konstruksiyon yapılabilir</v>
      </c>
      <c r="O40" s="779"/>
      <c r="P40" s="779"/>
      <c r="Q40" s="101"/>
      <c r="U40" s="101"/>
      <c r="Z40" s="71"/>
      <c r="AA40" s="101"/>
      <c r="AB40" s="101"/>
      <c r="AC40" s="101"/>
      <c r="AD40" s="101"/>
      <c r="AE40" s="101"/>
      <c r="AF40" s="101"/>
      <c r="AG40" s="101"/>
    </row>
    <row r="41" spans="1:33" ht="14.25" customHeight="1">
      <c r="A41" s="273" t="s">
        <v>162</v>
      </c>
      <c r="B41" s="62" t="str">
        <f>0!B245</f>
        <v>1. Parça;bağlanan parçadır (hmin). 2. Parça;taşıyıcı ana parçadır. 3. Parça;ek konstruksiyon parçalarıdır.</v>
      </c>
      <c r="F41" s="101"/>
      <c r="G41" s="101"/>
      <c r="H41" s="101"/>
      <c r="I41" s="101"/>
      <c r="J41" s="101"/>
      <c r="N41" s="779"/>
      <c r="O41" s="779"/>
      <c r="P41" s="779"/>
      <c r="Q41" s="101"/>
      <c r="AA41" s="101"/>
      <c r="AB41" s="101"/>
      <c r="AC41" s="101"/>
      <c r="AD41" s="101"/>
      <c r="AE41" s="101"/>
      <c r="AF41" s="101"/>
      <c r="AG41" s="101"/>
    </row>
    <row r="42" spans="1:33" ht="14.25" customHeight="1">
      <c r="A42" s="275" t="s">
        <v>163</v>
      </c>
      <c r="B42" s="62" t="str">
        <f>0!B246</f>
        <v>Sıkıştırma momenti ve ön gerilme kuvveti ya tabeladan veya hesaplananmomente göre alınır.</v>
      </c>
      <c r="F42" s="101"/>
      <c r="N42" s="779"/>
      <c r="O42" s="779"/>
      <c r="P42" s="779"/>
      <c r="AA42" s="101"/>
      <c r="AB42" s="101"/>
      <c r="AC42" s="101"/>
      <c r="AD42" s="101"/>
      <c r="AE42" s="101"/>
      <c r="AF42" s="101"/>
      <c r="AG42" s="101"/>
    </row>
    <row r="43" spans="1:33" ht="14.25" customHeight="1">
      <c r="A43" s="67" t="str">
        <f>0!B56</f>
        <v>Düşünceler :</v>
      </c>
      <c r="C43" s="752"/>
      <c r="D43" s="752"/>
      <c r="E43" s="752"/>
      <c r="F43" s="752"/>
      <c r="G43" s="752"/>
      <c r="H43" s="752"/>
      <c r="I43" s="752"/>
      <c r="J43" s="752"/>
      <c r="K43" s="752"/>
      <c r="L43" s="276"/>
      <c r="U43" s="101"/>
      <c r="Z43" s="71"/>
      <c r="AA43" s="101"/>
      <c r="AB43" s="101"/>
      <c r="AC43" s="101"/>
      <c r="AD43" s="101"/>
      <c r="AE43" s="101"/>
      <c r="AF43" s="101"/>
      <c r="AG43" s="101"/>
    </row>
    <row r="44" spans="2:27" ht="14.25" customHeight="1">
      <c r="B44" s="62" t="str">
        <f>0!B247</f>
        <v>Bu programdaki devamlı mukavemet hesabı, civata kafası presleme ve vida ovalama metoduyla imal edilmiş vede imalat bitiminde islah edilmiş civatalar için geçerlidir.</v>
      </c>
      <c r="O44" s="278" t="s">
        <v>164</v>
      </c>
      <c r="P44" s="279" t="s">
        <v>165</v>
      </c>
      <c r="Q44" s="280"/>
      <c r="R44" s="281"/>
      <c r="Z44" s="71"/>
      <c r="AA44" s="71"/>
    </row>
    <row r="45" spans="2:27" ht="14.25" customHeight="1" hidden="1">
      <c r="B45" s="101"/>
      <c r="C45" s="101"/>
      <c r="D45" s="101"/>
      <c r="N45" s="101"/>
      <c r="V45" s="101"/>
      <c r="W45" s="101"/>
      <c r="X45" s="101"/>
      <c r="Y45" s="101"/>
      <c r="Z45" s="101"/>
      <c r="AA45" s="71"/>
    </row>
    <row r="46" spans="2:32" ht="14.25" customHeight="1" hidden="1">
      <c r="B46" s="101"/>
      <c r="C46" s="101"/>
      <c r="D46" s="101"/>
      <c r="V46" s="101"/>
      <c r="W46" s="101"/>
      <c r="X46" s="101"/>
      <c r="Y46" s="101"/>
      <c r="Z46" s="101"/>
      <c r="AA46" s="71"/>
      <c r="AB46" s="113" t="str">
        <f>J22</f>
        <v>Montaj</v>
      </c>
      <c r="AC46" s="113" t="str">
        <f>AB46</f>
        <v>Montaj</v>
      </c>
      <c r="AD46" s="113" t="str">
        <f>AC46</f>
        <v>Montaj</v>
      </c>
      <c r="AE46" s="113" t="str">
        <f>AD46</f>
        <v>Montaj</v>
      </c>
      <c r="AF46" s="113" t="str">
        <f>AE46</f>
        <v>Montaj</v>
      </c>
    </row>
    <row r="47" spans="2:32" ht="14.25" customHeight="1" hidden="1">
      <c r="B47" s="445"/>
      <c r="C47" s="445"/>
      <c r="D47" s="445"/>
      <c r="E47" s="445"/>
      <c r="F47" s="445"/>
      <c r="G47" s="445"/>
      <c r="H47" s="445"/>
      <c r="I47" s="445"/>
      <c r="J47" s="445"/>
      <c r="K47" s="445"/>
      <c r="L47" s="445"/>
      <c r="N47" s="445"/>
      <c r="P47" s="65"/>
      <c r="V47" s="101"/>
      <c r="W47" s="101"/>
      <c r="X47" s="101"/>
      <c r="Y47" s="101"/>
      <c r="Z47" s="101"/>
      <c r="AB47" s="113">
        <v>0.5</v>
      </c>
      <c r="AC47" s="113">
        <v>0.4</v>
      </c>
      <c r="AD47" s="113">
        <v>0.5</v>
      </c>
      <c r="AE47" s="113">
        <v>0.5</v>
      </c>
      <c r="AF47" s="113">
        <v>0.4</v>
      </c>
    </row>
    <row r="48" spans="2:32" ht="14.25" customHeight="1" hidden="1">
      <c r="B48" s="445"/>
      <c r="C48" s="445"/>
      <c r="D48" s="445"/>
      <c r="E48" s="445"/>
      <c r="F48" s="445"/>
      <c r="G48" s="445"/>
      <c r="H48" s="445"/>
      <c r="I48" s="445"/>
      <c r="J48" s="445"/>
      <c r="K48" s="445"/>
      <c r="L48" s="445"/>
      <c r="N48" s="445"/>
      <c r="P48" s="65"/>
      <c r="V48" s="101"/>
      <c r="W48" s="101"/>
      <c r="X48" s="101"/>
      <c r="Y48" s="101"/>
      <c r="Z48" s="101"/>
      <c r="AA48" s="283" t="s">
        <v>307</v>
      </c>
      <c r="AB48" s="558">
        <f>0.5*$D$32/$D$16/$K$5</f>
        <v>1.5157613627799555E-07</v>
      </c>
      <c r="AC48" s="558">
        <f>0.5*$D$32/$D$16/$K$5</f>
        <v>1.5157613627799555E-07</v>
      </c>
      <c r="AD48" s="558">
        <f>0.5*$D$32/$D$16/$K$5</f>
        <v>1.5157613627799555E-07</v>
      </c>
      <c r="AE48" s="558">
        <f>0.5*$D$32/$D$16/$K$5</f>
        <v>1.5157613627799555E-07</v>
      </c>
      <c r="AF48" s="558">
        <f>0.5*$D$32/$D$16/$K$5</f>
        <v>1.5157613627799555E-07</v>
      </c>
    </row>
    <row r="49" spans="2:32" ht="14.25" customHeight="1" hidden="1">
      <c r="B49" s="445"/>
      <c r="C49" s="445"/>
      <c r="D49" s="445"/>
      <c r="E49" s="445"/>
      <c r="F49" s="445"/>
      <c r="G49" s="445"/>
      <c r="H49" s="445"/>
      <c r="I49" s="445"/>
      <c r="J49" s="445"/>
      <c r="K49" s="445"/>
      <c r="L49" s="445"/>
      <c r="N49" s="445"/>
      <c r="P49" s="65"/>
      <c r="V49" s="101"/>
      <c r="W49" s="101"/>
      <c r="X49" s="101"/>
      <c r="Y49" s="101"/>
      <c r="Z49" s="101"/>
      <c r="AA49" s="283" t="s">
        <v>308</v>
      </c>
      <c r="AB49" s="285">
        <f>$E$32/$D$16/$K$5</f>
        <v>2.2736420441699336E-07</v>
      </c>
      <c r="AC49" s="285">
        <f>$E$32/$D$16/$K$5</f>
        <v>2.2736420441699336E-07</v>
      </c>
      <c r="AD49" s="285">
        <f>$E$32/$D$16/$K$5</f>
        <v>2.2736420441699336E-07</v>
      </c>
      <c r="AE49" s="285">
        <f>$E$32/$D$16/$K$5</f>
        <v>2.2736420441699336E-07</v>
      </c>
      <c r="AF49" s="285">
        <f>$E$32/$D$16/$K$5</f>
        <v>2.2736420441699336E-07</v>
      </c>
    </row>
    <row r="50" spans="2:32" ht="14.25" customHeight="1" hidden="1">
      <c r="B50" s="101"/>
      <c r="C50" s="101"/>
      <c r="D50" s="101"/>
      <c r="V50" s="101"/>
      <c r="W50" s="101"/>
      <c r="X50" s="101"/>
      <c r="Y50" s="101"/>
      <c r="Z50" s="101"/>
      <c r="AA50" s="283" t="s">
        <v>309</v>
      </c>
      <c r="AB50" s="285">
        <f>$E$33/$D$16/$K$4</f>
        <v>3.0178766745099535E-06</v>
      </c>
      <c r="AC50" s="285">
        <f>$E$33/$D$16/$K$4</f>
        <v>3.0178766745099535E-06</v>
      </c>
      <c r="AD50" s="285">
        <f>$E$33/$D$16/$K$4</f>
        <v>3.0178766745099535E-06</v>
      </c>
      <c r="AE50" s="285">
        <f>$E$33/$D$16/$K$4</f>
        <v>3.0178766745099535E-06</v>
      </c>
      <c r="AF50" s="285">
        <f>$E$33/$D$16/$K$4</f>
        <v>3.0178766745099535E-06</v>
      </c>
    </row>
    <row r="51" spans="18:32" ht="14.25" customHeight="1" hidden="1">
      <c r="R51" s="101"/>
      <c r="S51" s="101"/>
      <c r="V51" s="101"/>
      <c r="W51" s="101"/>
      <c r="X51" s="101"/>
      <c r="Y51" s="101"/>
      <c r="Z51" s="101"/>
      <c r="AA51" s="101"/>
      <c r="AB51" s="101"/>
      <c r="AC51" s="101"/>
      <c r="AD51" s="101"/>
      <c r="AE51" s="101"/>
      <c r="AF51" s="101"/>
    </row>
    <row r="52" spans="1:32" ht="14.25" customHeight="1" hidden="1">
      <c r="A52" s="290"/>
      <c r="B52" s="290"/>
      <c r="R52" s="101"/>
      <c r="S52" s="101"/>
      <c r="V52" s="101"/>
      <c r="W52" s="101"/>
      <c r="X52" s="101"/>
      <c r="Y52" s="101"/>
      <c r="Z52" s="101"/>
      <c r="AA52" s="283" t="s">
        <v>311</v>
      </c>
      <c r="AB52" s="285">
        <f>0.5*$E$27/$D$16/$K$8</f>
        <v>2.114618288505042E-07</v>
      </c>
      <c r="AC52" s="285">
        <f>0.5*$E$27/$D$16/$K$8</f>
        <v>2.114618288505042E-07</v>
      </c>
      <c r="AD52" s="285">
        <f>0.5*$E$27/$D$16/$K$8</f>
        <v>2.114618288505042E-07</v>
      </c>
      <c r="AE52" s="285">
        <f>0.5*$E$27/$D$16/$K$8</f>
        <v>2.114618288505042E-07</v>
      </c>
      <c r="AF52" s="285">
        <f>0.5*$E$27/$D$16/$K$8</f>
        <v>2.114618288505042E-07</v>
      </c>
    </row>
    <row r="53" spans="1:32" ht="14.25" customHeight="1" hidden="1">
      <c r="A53" s="290"/>
      <c r="B53" s="290"/>
      <c r="R53" s="101"/>
      <c r="S53" s="101"/>
      <c r="V53" s="101"/>
      <c r="W53" s="101"/>
      <c r="X53" s="101"/>
      <c r="Y53" s="101"/>
      <c r="Z53" s="101"/>
      <c r="AA53" s="283" t="s">
        <v>312</v>
      </c>
      <c r="AB53" s="285">
        <f>IF(E22&gt;10,0.33*$E$27/$E$22/$K$5,"")</f>
      </c>
      <c r="AC53" s="285">
        <f>IF(E22&gt;10,0.33*$E$27/$E$22/$K$5,"")</f>
      </c>
      <c r="AD53" s="285">
        <f>IF(E22&gt;10,0.33*$E$27/$E$22/$K$5,"")</f>
      </c>
      <c r="AE53" s="285">
        <f>IF(E22&gt;10,0.33*$E$27/$E$22/$K$5,"")</f>
      </c>
      <c r="AF53" s="285">
        <f>IF(E22&gt;10,0.33*$E$27/$E$22/$K$5,"")</f>
      </c>
    </row>
    <row r="54" spans="1:32" ht="14.25" customHeight="1" hidden="1">
      <c r="A54" s="290"/>
      <c r="B54" s="590"/>
      <c r="C54" s="101"/>
      <c r="D54" s="101"/>
      <c r="R54" s="101"/>
      <c r="S54" s="101"/>
      <c r="V54" s="101"/>
      <c r="W54" s="101"/>
      <c r="X54" s="101"/>
      <c r="Y54" s="101"/>
      <c r="Z54" s="101"/>
      <c r="AB54" s="286">
        <f>SUM(AB48:AB53)</f>
        <v>3.6082788440554465E-06</v>
      </c>
      <c r="AC54" s="286">
        <f>SUM(AC48:AC53)</f>
        <v>3.6082788440554465E-06</v>
      </c>
      <c r="AD54" s="286">
        <f>SUM(AD48:AD53)</f>
        <v>3.6082788440554465E-06</v>
      </c>
      <c r="AE54" s="286">
        <f>SUM(AE48:AE53)</f>
        <v>3.6082788440554465E-06</v>
      </c>
      <c r="AF54" s="286">
        <f>SUM(AF48:AF53)</f>
        <v>3.6082788440554465E-06</v>
      </c>
    </row>
    <row r="55" spans="1:32" ht="14.25" customHeight="1" hidden="1">
      <c r="A55" s="290"/>
      <c r="B55" s="290"/>
      <c r="C55" s="101"/>
      <c r="D55" s="101"/>
      <c r="R55" s="101"/>
      <c r="S55" s="101"/>
      <c r="V55" s="101"/>
      <c r="W55" s="101"/>
      <c r="X55" s="101"/>
      <c r="Y55" s="101"/>
      <c r="Z55" s="101"/>
      <c r="AB55" s="559">
        <v>11</v>
      </c>
      <c r="AC55" s="559">
        <v>12</v>
      </c>
      <c r="AD55" s="559">
        <v>21</v>
      </c>
      <c r="AE55" s="560">
        <v>22</v>
      </c>
      <c r="AF55" s="560">
        <v>23</v>
      </c>
    </row>
    <row r="56" spans="1:28" ht="14.25" customHeight="1" hidden="1">
      <c r="A56" s="290"/>
      <c r="B56" s="290" t="str">
        <f>0!B257</f>
        <v>Lütfen, LSı ile L1+L2 yi kontrol ediniz.</v>
      </c>
      <c r="C56" s="101"/>
      <c r="D56" s="101"/>
      <c r="R56" s="101"/>
      <c r="S56" s="101"/>
      <c r="V56" s="101"/>
      <c r="W56" s="101"/>
      <c r="X56" s="101"/>
      <c r="Y56" s="101"/>
      <c r="Z56" s="101"/>
      <c r="AA56" s="283" t="s">
        <v>313</v>
      </c>
      <c r="AB56" s="561">
        <f>AC54</f>
        <v>3.6082788440554465E-06</v>
      </c>
    </row>
    <row r="57" spans="1:32" ht="14.25" customHeight="1" hidden="1">
      <c r="A57" s="290"/>
      <c r="B57" s="290"/>
      <c r="C57" s="101"/>
      <c r="D57" s="101"/>
      <c r="R57" s="101"/>
      <c r="S57" s="101"/>
      <c r="V57" s="101"/>
      <c r="W57" s="101"/>
      <c r="X57" s="101"/>
      <c r="Y57" s="101"/>
      <c r="Z57" s="101"/>
      <c r="AB57" s="457" t="s">
        <v>266</v>
      </c>
      <c r="AC57" s="457" t="s">
        <v>335</v>
      </c>
      <c r="AD57" s="457" t="s">
        <v>266</v>
      </c>
      <c r="AE57" s="457" t="s">
        <v>266</v>
      </c>
      <c r="AF57" s="457" t="s">
        <v>266</v>
      </c>
    </row>
    <row r="58" spans="1:28" ht="14.25" customHeight="1" hidden="1">
      <c r="A58" s="290"/>
      <c r="B58" s="590"/>
      <c r="C58" s="101"/>
      <c r="D58" s="101"/>
      <c r="O58" s="288" t="s">
        <v>256</v>
      </c>
      <c r="P58" s="370">
        <f>E29*E17*(E13-D13)</f>
        <v>0.11544</v>
      </c>
      <c r="Q58" s="289"/>
      <c r="R58" s="101"/>
      <c r="S58" s="101"/>
      <c r="V58" s="101"/>
      <c r="W58" s="101"/>
      <c r="X58" s="101"/>
      <c r="Y58" s="101"/>
      <c r="Z58" s="101"/>
      <c r="AA58" s="283" t="s">
        <v>172</v>
      </c>
      <c r="AB58" s="285">
        <f>$C$21/$C$22/$K$21</f>
        <v>1.3733206337115866E-07</v>
      </c>
    </row>
    <row r="59" spans="1:28" ht="14.25" customHeight="1" hidden="1">
      <c r="A59" s="290"/>
      <c r="B59" s="290"/>
      <c r="M59" s="68"/>
      <c r="N59" s="68"/>
      <c r="AA59" s="283" t="s">
        <v>173</v>
      </c>
      <c r="AB59" s="285">
        <f>IF($D$21&gt;0,$D$21/$D$22/$K$21,"")</f>
        <v>7.553263485413726E-07</v>
      </c>
    </row>
    <row r="60" spans="1:28" ht="14.25" customHeight="1" hidden="1">
      <c r="A60" s="290"/>
      <c r="B60" s="290"/>
      <c r="M60" s="68"/>
      <c r="N60" s="68"/>
      <c r="O60" s="115">
        <v>1</v>
      </c>
      <c r="P60" s="449">
        <f>IF(C21&lt;=0,"",C21*C25*(C23-D13))</f>
        <v>0</v>
      </c>
      <c r="AA60" s="283" t="s">
        <v>174</v>
      </c>
      <c r="AB60" s="285">
        <f>IF($E$21&gt;0,$E$21/$E$22/$K$21,"")</f>
      </c>
    </row>
    <row r="61" spans="1:28" ht="14.25" customHeight="1" hidden="1">
      <c r="A61" s="290"/>
      <c r="B61" s="290" t="str">
        <f>0!B260</f>
        <v>Cıvatanın sıkıştırma kuvveti FÖNM max yeterlı değil. Cıvata yeniden seçilir.</v>
      </c>
      <c r="M61" s="68"/>
      <c r="N61" s="68"/>
      <c r="O61" s="101">
        <v>2</v>
      </c>
      <c r="P61" s="449">
        <f>IF(D21&lt;=0,"",D21*D25*(D23-D13))</f>
        <v>0</v>
      </c>
      <c r="AA61" s="283" t="s">
        <v>175</v>
      </c>
      <c r="AB61" s="450">
        <f>SUM(AB58:AB60)*10^3</f>
        <v>0.0008926584119125312</v>
      </c>
    </row>
    <row r="62" spans="15:16" ht="14.25" customHeight="1" hidden="1">
      <c r="O62" s="101">
        <v>3</v>
      </c>
      <c r="P62" s="449">
        <f>IF(E21&lt;=0,"",E21*E25*(E23-D13))</f>
      </c>
    </row>
    <row r="63" spans="15:16" ht="14.25" customHeight="1" hidden="1">
      <c r="O63" s="288" t="s">
        <v>257</v>
      </c>
      <c r="P63" s="449">
        <f>SUM(P60:P62)</f>
        <v>0</v>
      </c>
    </row>
    <row r="64" spans="28:32" ht="14.25" customHeight="1" hidden="1">
      <c r="AB64" s="113" t="str">
        <f>J18</f>
        <v>İşletme</v>
      </c>
      <c r="AC64" s="113" t="str">
        <f>AB64</f>
        <v>İşletme</v>
      </c>
      <c r="AD64" s="113" t="str">
        <f>AC64</f>
        <v>İşletme</v>
      </c>
      <c r="AE64" s="113" t="str">
        <f>AD64</f>
        <v>İşletme</v>
      </c>
      <c r="AF64" s="113" t="str">
        <f>AE64</f>
        <v>İşletme</v>
      </c>
    </row>
    <row r="65" spans="15:32" ht="14.25" customHeight="1" hidden="1">
      <c r="O65" s="288" t="s">
        <v>258</v>
      </c>
      <c r="P65" s="449">
        <f>P63-P58</f>
        <v>-0.11544</v>
      </c>
      <c r="AA65" s="283" t="s">
        <v>314</v>
      </c>
      <c r="AB65" s="558">
        <f>0.5*$D$32/$E$16/$K$5</f>
        <v>1.5377289187622738E-07</v>
      </c>
      <c r="AC65" s="558">
        <f>0.4*$D$32/$E$16/$K$5</f>
        <v>1.230183135009819E-07</v>
      </c>
      <c r="AD65" s="558">
        <f>0.5*$D$32/$E$16/$K$5</f>
        <v>1.5377289187622738E-07</v>
      </c>
      <c r="AE65" s="558">
        <f>0.5*$D$32/$E$16/$K$5</f>
        <v>1.5377289187622738E-07</v>
      </c>
      <c r="AF65" s="558">
        <f>0.4*$D$32/$E$16/$K$5</f>
        <v>1.230183135009819E-07</v>
      </c>
    </row>
    <row r="66" spans="27:32" ht="14.25" customHeight="1" hidden="1">
      <c r="AA66" s="283" t="s">
        <v>315</v>
      </c>
      <c r="AB66" s="285">
        <f>$E$32/$E$16/$K$5</f>
        <v>2.3065933781434105E-07</v>
      </c>
      <c r="AC66" s="285">
        <f>$E$32/$E$16/$K$5</f>
        <v>2.3065933781434105E-07</v>
      </c>
      <c r="AD66" s="285">
        <f>$E$32/$E$16/$K$5</f>
        <v>2.3065933781434105E-07</v>
      </c>
      <c r="AE66" s="285">
        <f>$E$32/$E$16/$K$5</f>
        <v>2.3065933781434105E-07</v>
      </c>
      <c r="AF66" s="285">
        <f>$E$32/$E$16/$K$5</f>
        <v>2.3065933781434105E-07</v>
      </c>
    </row>
    <row r="67" spans="27:32" ht="14.25" customHeight="1" hidden="1">
      <c r="AA67" s="283" t="s">
        <v>316</v>
      </c>
      <c r="AB67" s="285">
        <f>$E$33/$E$16/$K$4</f>
        <v>3.061614017618793E-06</v>
      </c>
      <c r="AC67" s="285">
        <f>$E$33/$E$16/$K$4</f>
        <v>3.061614017618793E-06</v>
      </c>
      <c r="AD67" s="285">
        <f>$E$33/$E$16/$K$4</f>
        <v>3.061614017618793E-06</v>
      </c>
      <c r="AE67" s="285">
        <f>$E$33/$E$16/$K$4</f>
        <v>3.061614017618793E-06</v>
      </c>
      <c r="AF67" s="285">
        <f>$E$33/$E$16/$K$4</f>
        <v>3.061614017618793E-06</v>
      </c>
    </row>
    <row r="68" spans="27:32" ht="14.25" customHeight="1" hidden="1">
      <c r="AA68" s="101"/>
      <c r="AB68" s="101"/>
      <c r="AC68" s="101"/>
      <c r="AD68" s="101"/>
      <c r="AE68" s="101"/>
      <c r="AF68" s="101"/>
    </row>
    <row r="69" spans="27:32" ht="14.25" customHeight="1" hidden="1">
      <c r="AA69" s="283" t="s">
        <v>318</v>
      </c>
      <c r="AB69" s="285">
        <f>0.5*$E$27/$E$16/$K$8</f>
        <v>2.1452649303674338E-07</v>
      </c>
      <c r="AC69" s="285">
        <f>0.5*$E$27/$E$16/$K$8</f>
        <v>2.1452649303674338E-07</v>
      </c>
      <c r="AD69" s="285">
        <f>0.5*$E$27/$E$16/$K$8</f>
        <v>2.1452649303674338E-07</v>
      </c>
      <c r="AE69" s="285">
        <f>0.5*$E$27/$E$16/$K$8</f>
        <v>2.1452649303674338E-07</v>
      </c>
      <c r="AF69" s="285">
        <f>0.5*$E$27/$E$16/$K$8</f>
        <v>2.1452649303674338E-07</v>
      </c>
    </row>
    <row r="70" spans="27:32" ht="14.25" customHeight="1" hidden="1">
      <c r="AA70" s="283" t="s">
        <v>319</v>
      </c>
      <c r="AB70" s="285">
        <f>IF(E24&gt;10,0.33*$E$27/$E$24/$K$5,"")</f>
      </c>
      <c r="AC70" s="285">
        <f>IF(E24&gt;10,0.33*$E$27/$E$24/$K$5,"")</f>
      </c>
      <c r="AD70" s="285">
        <f>IF(E24&gt;10,0.33*$E$27/$E$24/$K$5,"")</f>
      </c>
      <c r="AE70" s="285">
        <f>IF(E24&gt;10,0.33*$E$27/$E$24/$K$5,"")</f>
      </c>
      <c r="AF70" s="285">
        <f>IF(E24&gt;10,0.33*$E$27/$E$24/$K$5,"")</f>
      </c>
    </row>
    <row r="71" spans="27:32" ht="14.25" customHeight="1" hidden="1">
      <c r="AA71" s="283" t="s">
        <v>171</v>
      </c>
      <c r="AB71" s="286">
        <f>SUM(AB65:AB70)</f>
        <v>3.6605727403461052E-06</v>
      </c>
      <c r="AC71" s="286">
        <f>SUM(AC65:AC70)</f>
        <v>3.6298181619708595E-06</v>
      </c>
      <c r="AD71" s="286">
        <f>SUM(AD65:AD70)</f>
        <v>3.6605727403461052E-06</v>
      </c>
      <c r="AE71" s="286">
        <f>SUM(AE65:AE70)</f>
        <v>3.6605727403461052E-06</v>
      </c>
      <c r="AF71" s="286">
        <f>SUM(AF65:AF70)</f>
        <v>3.6298181619708595E-06</v>
      </c>
    </row>
    <row r="72" spans="28:32" ht="14.25" customHeight="1" hidden="1">
      <c r="AB72" s="559">
        <v>11</v>
      </c>
      <c r="AC72" s="559">
        <v>12</v>
      </c>
      <c r="AD72" s="559">
        <v>21</v>
      </c>
      <c r="AE72" s="560">
        <v>22</v>
      </c>
      <c r="AF72" s="560">
        <v>23</v>
      </c>
    </row>
    <row r="73" spans="27:28" ht="14.25" customHeight="1" hidden="1">
      <c r="AA73" s="283" t="s">
        <v>320</v>
      </c>
      <c r="AB73" s="561">
        <f>AB71</f>
        <v>3.6605727403461052E-06</v>
      </c>
    </row>
    <row r="74" ht="14.25" customHeight="1" hidden="1"/>
    <row r="75" spans="27:33" ht="14.25" customHeight="1">
      <c r="AA75" s="283" t="s">
        <v>172</v>
      </c>
      <c r="AB75" s="285">
        <f>$C$21/$C$24/$K$21</f>
        <v>1.9355525710029068E-07</v>
      </c>
      <c r="AC75" s="562" t="s">
        <v>336</v>
      </c>
      <c r="AD75" s="101"/>
      <c r="AE75" s="101"/>
      <c r="AF75" s="101"/>
      <c r="AG75" s="101"/>
    </row>
    <row r="76" spans="27:33" ht="14.25" customHeight="1">
      <c r="AA76" s="283" t="s">
        <v>173</v>
      </c>
      <c r="AB76" s="285">
        <f>IF($D$21&gt;0,$D$21/$D$24/$K$21,"")</f>
        <v>1.064553914051599E-06</v>
      </c>
      <c r="AC76" s="562" t="s">
        <v>336</v>
      </c>
      <c r="AD76" s="101"/>
      <c r="AE76" s="101"/>
      <c r="AF76" s="101"/>
      <c r="AG76" s="101"/>
    </row>
    <row r="77" spans="27:33" ht="14.25" customHeight="1">
      <c r="AA77" s="283" t="s">
        <v>174</v>
      </c>
      <c r="AB77" s="285">
        <f>IF($E$21&gt;0,$E$21/$E$24/$K$21,"")</f>
      </c>
      <c r="AE77" s="113">
        <v>1</v>
      </c>
      <c r="AF77" s="113"/>
      <c r="AG77" s="113"/>
    </row>
    <row r="78" spans="30:33" ht="14.25" customHeight="1">
      <c r="AD78" s="288" t="s">
        <v>176</v>
      </c>
      <c r="AE78" s="460">
        <f>K24*AB79/(AB79+AB73)</f>
        <v>0.4985494291814867</v>
      </c>
      <c r="AF78" s="460"/>
      <c r="AG78" s="460"/>
    </row>
    <row r="79" spans="27:33" ht="14.25" customHeight="1">
      <c r="AA79" s="283" t="s">
        <v>175</v>
      </c>
      <c r="AB79" s="450">
        <f>SUM(AB75:AB77)*10^3</f>
        <v>0.0012581091711518896</v>
      </c>
      <c r="AC79" s="562" t="s">
        <v>337</v>
      </c>
      <c r="AD79" s="462" t="s">
        <v>268</v>
      </c>
      <c r="AE79" s="591">
        <f>AE78</f>
        <v>0.4985494291814867</v>
      </c>
      <c r="AF79" s="71"/>
      <c r="AG79" s="71"/>
    </row>
    <row r="80" spans="27:33" ht="14.25" customHeight="1">
      <c r="AA80" s="463" t="s">
        <v>321</v>
      </c>
      <c r="AB80" s="592">
        <f>AB79</f>
        <v>0.0012581091711518896</v>
      </c>
      <c r="AD80" s="71"/>
      <c r="AE80" s="71"/>
      <c r="AF80" s="71"/>
      <c r="AG80" s="71"/>
    </row>
    <row r="81" spans="27:33" ht="14.25" customHeight="1">
      <c r="AA81" s="463" t="s">
        <v>338</v>
      </c>
      <c r="AB81" s="592">
        <f>AB79</f>
        <v>0.0012581091711518896</v>
      </c>
      <c r="AC81" s="101"/>
      <c r="AE81" s="464">
        <f>P13</f>
        <v>654.8047694081145</v>
      </c>
      <c r="AF81" s="464"/>
      <c r="AG81" s="464"/>
    </row>
    <row r="82" spans="27:33" ht="14.25" customHeight="1">
      <c r="AA82" s="101"/>
      <c r="AB82" s="101"/>
      <c r="AD82" s="71"/>
      <c r="AE82" s="464"/>
      <c r="AF82" s="464"/>
      <c r="AG82" s="464"/>
    </row>
    <row r="83" spans="27:33" ht="14.25" customHeight="1">
      <c r="AA83" s="283" t="s">
        <v>179</v>
      </c>
      <c r="AB83" s="67">
        <f>0.4*E27/E16/AB30</f>
        <v>4.920732540039276E-09</v>
      </c>
      <c r="AD83" s="288" t="s">
        <v>271</v>
      </c>
      <c r="AE83" s="465">
        <f>AE81</f>
        <v>654.8047694081145</v>
      </c>
      <c r="AF83" s="113"/>
      <c r="AG83" s="113"/>
    </row>
    <row r="84" spans="27:33" ht="14.25" customHeight="1">
      <c r="AA84" s="283" t="s">
        <v>272</v>
      </c>
      <c r="AB84" s="67">
        <f>E32/$E$16/AB30</f>
        <v>9.226373512573643E-09</v>
      </c>
      <c r="AD84" s="115" t="s">
        <v>196</v>
      </c>
      <c r="AE84" s="113"/>
      <c r="AF84" s="464"/>
      <c r="AG84" s="113"/>
    </row>
    <row r="85" spans="27:28" ht="14.25" customHeight="1">
      <c r="AA85" s="101"/>
      <c r="AB85" s="101"/>
    </row>
    <row r="86" spans="27:28" ht="14.25" customHeight="1">
      <c r="AA86" s="283" t="s">
        <v>274</v>
      </c>
      <c r="AB86" s="67">
        <f>0.5*E27/E16/AB31</f>
        <v>1.1971320992437845E-08</v>
      </c>
    </row>
    <row r="87" spans="27:28" ht="14.25" customHeight="1">
      <c r="AA87" s="283" t="s">
        <v>274</v>
      </c>
      <c r="AB87" s="67">
        <f>0.4*E27/E16/AB30</f>
        <v>4.920732540039276E-09</v>
      </c>
    </row>
    <row r="88" spans="27:28" ht="14.25" customHeight="1">
      <c r="AA88" s="466" t="s">
        <v>275</v>
      </c>
      <c r="AB88" s="467">
        <f>SUM(AB83:AB87)</f>
        <v>3.103915958509004E-08</v>
      </c>
    </row>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password="EF77" sheet="1" objects="1" scenarios="1"/>
  <mergeCells count="17">
    <mergeCell ref="C2:I2"/>
    <mergeCell ref="L8:L11"/>
    <mergeCell ref="Q9:Q12"/>
    <mergeCell ref="D11:E11"/>
    <mergeCell ref="L13:L16"/>
    <mergeCell ref="D18:E18"/>
    <mergeCell ref="F19:F34"/>
    <mergeCell ref="Q19:Q22"/>
    <mergeCell ref="G39:K40"/>
    <mergeCell ref="N40:P42"/>
    <mergeCell ref="C43:K43"/>
    <mergeCell ref="A20:A22"/>
    <mergeCell ref="L22:L24"/>
    <mergeCell ref="A23:A25"/>
    <mergeCell ref="L26:L29"/>
    <mergeCell ref="A27:A35"/>
    <mergeCell ref="L31:L34"/>
  </mergeCells>
  <conditionalFormatting sqref="G39:K39">
    <cfRule type="cellIs" priority="1" dxfId="0" operator="notEqual" stopIfTrue="1">
      <formula>0</formula>
    </cfRule>
  </conditionalFormatting>
  <printOptions horizontalCentered="1" verticalCentered="1"/>
  <pageMargins left="0.31527777777777777" right="0.31527777777777777" top="0.5902777777777778" bottom="0.5902777777777777" header="0.5118055555555555" footer="0.5118055555555555"/>
  <pageSetup horizontalDpi="300" verticalDpi="300" orientation="landscape" paperSize="9" scale="79"/>
  <headerFooter alignWithMargins="0">
    <oddFooter>&amp;L&amp;D / &amp;F / &amp;A&amp;R&amp;P von &amp;N</oddFooter>
  </headerFooter>
  <legacyDrawing r:id="rId2"/>
  <oleObjects>
    <oleObject progId="" shapeId="120515260" r:id="rId1"/>
  </oleObjects>
</worksheet>
</file>

<file path=xl/worksheets/sheet8.xml><?xml version="1.0" encoding="utf-8"?>
<worksheet xmlns="http://schemas.openxmlformats.org/spreadsheetml/2006/main" xmlns:r="http://schemas.openxmlformats.org/officeDocument/2006/relationships">
  <dimension ref="A1:AA43"/>
  <sheetViews>
    <sheetView showGridLines="0" showRowColHeaders="0" zoomScale="80" zoomScaleNormal="80" workbookViewId="0" topLeftCell="A1">
      <selection activeCell="G49" sqref="G49"/>
    </sheetView>
  </sheetViews>
  <sheetFormatPr defaultColWidth="11.421875" defaultRowHeight="12.75"/>
  <cols>
    <col min="1" max="1" width="4.57421875" style="101" customWidth="1"/>
    <col min="2" max="5" width="11.7109375" style="101" customWidth="1"/>
    <col min="6" max="6" width="6.140625" style="101" customWidth="1"/>
    <col min="7" max="9" width="11.7109375" style="101" customWidth="1"/>
    <col min="10" max="10" width="11.8515625" style="101" customWidth="1"/>
    <col min="11" max="11" width="4.8515625" style="101" customWidth="1"/>
    <col min="12" max="12" width="13.7109375" style="101" customWidth="1"/>
    <col min="13" max="15" width="11.7109375" style="101" customWidth="1"/>
    <col min="16" max="16" width="7.421875" style="101" customWidth="1"/>
    <col min="17" max="17" width="2.7109375" style="101" customWidth="1"/>
    <col min="18" max="18" width="0" style="101" hidden="1" customWidth="1"/>
    <col min="19" max="19" width="0" style="593" hidden="1" customWidth="1"/>
    <col min="20" max="25" width="0" style="101" hidden="1" customWidth="1"/>
    <col min="26" max="26" width="3.140625" style="101" customWidth="1"/>
    <col min="27" max="33" width="11.7109375" style="101" customWidth="1"/>
    <col min="34" max="34" width="2.7109375" style="101" customWidth="1"/>
    <col min="35" max="35" width="2.57421875" style="101" customWidth="1"/>
    <col min="36" max="73" width="11.7109375" style="101" customWidth="1"/>
    <col min="74" max="16384" width="11.421875" style="101" customWidth="1"/>
  </cols>
  <sheetData>
    <row r="1" spans="8:19" s="2" customFormat="1" ht="15">
      <c r="H1" s="2" t="str">
        <f>Info!N11</f>
        <v>Copyright : M. G. Kutay , Ver 2013.01</v>
      </c>
      <c r="M1" s="594" t="str">
        <f>Info!B11</f>
        <v>www.guven-kutay.ch</v>
      </c>
      <c r="S1" s="59"/>
    </row>
    <row r="2" spans="1:21" s="71" customFormat="1" ht="14.25" customHeight="1">
      <c r="A2" s="67"/>
      <c r="B2" s="595" t="str">
        <f>0!B241</f>
        <v>6. Çelik konsruksiyonda cıvata bağlantıları</v>
      </c>
      <c r="D2" s="68"/>
      <c r="E2" s="68"/>
      <c r="M2" s="754"/>
      <c r="N2" s="754"/>
      <c r="O2" s="754"/>
      <c r="P2" s="101"/>
      <c r="S2" s="115"/>
      <c r="T2" s="68"/>
      <c r="U2" s="101"/>
    </row>
    <row r="3" spans="1:21" s="71" customFormat="1" ht="14.25" customHeight="1">
      <c r="A3" s="67"/>
      <c r="B3" s="115" t="str">
        <f>0!B156</f>
        <v>Proje :</v>
      </c>
      <c r="C3" s="596">
        <v>1</v>
      </c>
      <c r="D3" s="597"/>
      <c r="E3" s="597"/>
      <c r="F3" s="597"/>
      <c r="G3" s="597"/>
      <c r="H3" s="101"/>
      <c r="I3" s="101"/>
      <c r="J3" s="101"/>
      <c r="K3" s="101"/>
      <c r="L3" s="101"/>
      <c r="M3" s="101"/>
      <c r="P3" s="101"/>
      <c r="Q3" s="117"/>
      <c r="R3" s="101"/>
      <c r="S3" s="593"/>
      <c r="T3" s="101"/>
      <c r="U3" s="101"/>
    </row>
    <row r="4" spans="6:21" s="71" customFormat="1" ht="14.25" customHeight="1">
      <c r="F4" s="101"/>
      <c r="G4" s="101"/>
      <c r="H4" s="101"/>
      <c r="I4" s="101"/>
      <c r="J4" s="101"/>
      <c r="K4" s="101"/>
      <c r="L4" s="101"/>
      <c r="M4" s="101"/>
      <c r="N4" s="101"/>
      <c r="O4" s="101"/>
      <c r="P4" s="101"/>
      <c r="S4" s="115"/>
      <c r="U4" s="101"/>
    </row>
    <row r="5" spans="6:21" s="71" customFormat="1" ht="14.25" customHeight="1">
      <c r="F5" s="101"/>
      <c r="G5" s="101"/>
      <c r="H5" s="101"/>
      <c r="I5" s="101"/>
      <c r="J5" s="101"/>
      <c r="K5" s="101"/>
      <c r="L5" s="101"/>
      <c r="M5" s="101"/>
      <c r="N5" s="101"/>
      <c r="O5" s="101"/>
      <c r="P5" s="101"/>
      <c r="Q5" s="128"/>
      <c r="S5" s="115"/>
      <c r="U5" s="101"/>
    </row>
    <row r="6" spans="6:19" s="71" customFormat="1" ht="14.25" customHeight="1">
      <c r="F6" s="101"/>
      <c r="G6" s="101"/>
      <c r="H6" s="101"/>
      <c r="I6" s="101"/>
      <c r="J6" s="101"/>
      <c r="K6" s="101"/>
      <c r="L6" s="101"/>
      <c r="M6" s="101"/>
      <c r="N6" s="101"/>
      <c r="O6" s="101"/>
      <c r="P6" s="101"/>
      <c r="Q6" s="128"/>
      <c r="S6" s="115"/>
    </row>
    <row r="7" spans="6:19" s="71" customFormat="1" ht="14.25" customHeight="1">
      <c r="F7" s="101"/>
      <c r="G7" s="101"/>
      <c r="H7" s="101"/>
      <c r="I7" s="101"/>
      <c r="J7" s="101"/>
      <c r="K7" s="101"/>
      <c r="L7" s="101"/>
      <c r="M7" s="101"/>
      <c r="N7" s="101"/>
      <c r="O7" s="101"/>
      <c r="P7" s="101"/>
      <c r="Q7" s="128"/>
      <c r="S7" s="288"/>
    </row>
    <row r="8" spans="6:19" s="71" customFormat="1" ht="14.25" customHeight="1">
      <c r="F8" s="101"/>
      <c r="G8" s="101"/>
      <c r="H8" s="101"/>
      <c r="I8" s="101"/>
      <c r="J8" s="101"/>
      <c r="K8" s="101"/>
      <c r="L8" s="101"/>
      <c r="M8" s="101"/>
      <c r="N8" s="101"/>
      <c r="O8" s="101"/>
      <c r="P8" s="101"/>
      <c r="Q8" s="128"/>
      <c r="S8" s="115"/>
    </row>
    <row r="9" spans="6:19" s="71" customFormat="1" ht="14.25" customHeight="1">
      <c r="F9" s="101"/>
      <c r="G9" s="101"/>
      <c r="H9" s="101"/>
      <c r="I9" s="101"/>
      <c r="J9" s="101"/>
      <c r="K9" s="101"/>
      <c r="L9" s="101"/>
      <c r="M9" s="101"/>
      <c r="N9" s="101"/>
      <c r="O9" s="101"/>
      <c r="P9" s="101"/>
      <c r="Q9" s="128"/>
      <c r="S9" s="115"/>
    </row>
    <row r="10" spans="6:19" s="71" customFormat="1" ht="14.25" customHeight="1">
      <c r="F10" s="101"/>
      <c r="G10" s="101"/>
      <c r="H10" s="101"/>
      <c r="I10" s="101"/>
      <c r="J10" s="101"/>
      <c r="K10" s="101"/>
      <c r="L10" s="101"/>
      <c r="M10" s="101"/>
      <c r="N10" s="101"/>
      <c r="O10" s="101"/>
      <c r="P10" s="101"/>
      <c r="Q10" s="128"/>
      <c r="S10" s="115"/>
    </row>
    <row r="11" spans="6:19" s="71" customFormat="1" ht="14.25" customHeight="1">
      <c r="F11" s="101"/>
      <c r="G11" s="101"/>
      <c r="H11" s="791" t="str">
        <f>0!B154</f>
        <v>Perçin</v>
      </c>
      <c r="I11" s="791"/>
      <c r="J11" s="101"/>
      <c r="K11" s="101"/>
      <c r="L11" s="101"/>
      <c r="M11" s="101"/>
      <c r="N11" s="101"/>
      <c r="O11" s="101"/>
      <c r="P11" s="101"/>
      <c r="Q11" s="128"/>
      <c r="S11" s="115"/>
    </row>
    <row r="12" spans="6:19" s="71" customFormat="1" ht="14.25" customHeight="1">
      <c r="F12" s="101"/>
      <c r="G12" s="101"/>
      <c r="H12" s="101"/>
      <c r="I12" s="101"/>
      <c r="J12" s="101"/>
      <c r="K12" s="101"/>
      <c r="L12" s="101"/>
      <c r="M12" s="101"/>
      <c r="N12" s="101"/>
      <c r="O12" s="101"/>
      <c r="P12" s="101"/>
      <c r="Q12" s="128"/>
      <c r="S12" s="115"/>
    </row>
    <row r="13" spans="1:27" s="71" customFormat="1" ht="14.25" customHeight="1">
      <c r="A13" s="27" t="s">
        <v>339</v>
      </c>
      <c r="B13" s="458" t="str">
        <f>0!B233</f>
        <v>Çelik konsruksiyonda ön germesiz cıvata bağlantıları</v>
      </c>
      <c r="F13" s="101"/>
      <c r="G13" s="101"/>
      <c r="H13" s="101"/>
      <c r="I13" s="101"/>
      <c r="K13" s="27" t="s">
        <v>340</v>
      </c>
      <c r="L13" s="458" t="str">
        <f>0!B234</f>
        <v>Çelik konsruksiyonda ön germeli cıvata bağlantıları</v>
      </c>
      <c r="P13" s="101"/>
      <c r="Q13" s="128"/>
      <c r="S13" s="101"/>
      <c r="T13" s="101"/>
      <c r="U13" s="101"/>
      <c r="V13" s="101"/>
      <c r="W13" s="101"/>
      <c r="X13" s="101"/>
      <c r="Y13" s="101"/>
      <c r="Z13" s="101"/>
      <c r="AA13" s="101"/>
    </row>
    <row r="14" spans="1:27" s="71" customFormat="1" ht="14.25" customHeight="1">
      <c r="A14" s="118">
        <v>1</v>
      </c>
      <c r="B14" s="62" t="str">
        <f>0!B60</f>
        <v>İşletme değerleri :</v>
      </c>
      <c r="C14" s="62"/>
      <c r="D14" s="67"/>
      <c r="E14" s="67"/>
      <c r="F14" s="101"/>
      <c r="G14" s="101"/>
      <c r="I14" s="101"/>
      <c r="J14" s="101"/>
      <c r="K14" s="118">
        <v>1</v>
      </c>
      <c r="L14" s="62" t="str">
        <f>B14</f>
        <v>İşletme değerleri :</v>
      </c>
      <c r="M14" s="62"/>
      <c r="N14" s="67"/>
      <c r="O14" s="67"/>
      <c r="P14" s="101"/>
      <c r="Q14" s="128"/>
      <c r="S14" s="101"/>
      <c r="T14" s="101"/>
      <c r="U14" s="101"/>
      <c r="V14" s="101"/>
      <c r="W14" s="101"/>
      <c r="X14" s="101"/>
      <c r="Y14" s="101"/>
      <c r="Z14" s="101"/>
      <c r="AA14" s="101"/>
    </row>
    <row r="15" spans="1:19" ht="14.25" customHeight="1">
      <c r="A15" s="67"/>
      <c r="B15" s="413" t="str">
        <f>0!B158</f>
        <v>Enine kuvvet</v>
      </c>
      <c r="C15" s="470"/>
      <c r="D15" s="598" t="s">
        <v>90</v>
      </c>
      <c r="E15" s="599">
        <v>140000</v>
      </c>
      <c r="F15" s="600"/>
      <c r="K15" s="67"/>
      <c r="L15" s="413" t="str">
        <f>0!B105</f>
        <v>Toplam enine kuvvet</v>
      </c>
      <c r="M15" s="470"/>
      <c r="N15" s="598" t="s">
        <v>90</v>
      </c>
      <c r="O15" s="123">
        <v>160</v>
      </c>
      <c r="P15" s="798"/>
      <c r="S15" s="101"/>
    </row>
    <row r="16" spans="2:19" ht="14.25" customHeight="1">
      <c r="B16" s="601" t="str">
        <f>0!B55</f>
        <v>Zorlama hali</v>
      </c>
      <c r="C16" s="201"/>
      <c r="D16" s="602"/>
      <c r="E16" s="603" t="s">
        <v>341</v>
      </c>
      <c r="F16" s="600"/>
      <c r="L16" s="601" t="str">
        <f>0!B62</f>
        <v>İşletme kuvveti</v>
      </c>
      <c r="M16" s="201"/>
      <c r="N16" s="604" t="s">
        <v>342</v>
      </c>
      <c r="O16" s="410">
        <f>O15/O18</f>
        <v>16</v>
      </c>
      <c r="P16" s="798"/>
      <c r="S16" s="101"/>
    </row>
    <row r="17" spans="2:27" ht="14.25" customHeight="1">
      <c r="B17" s="601" t="str">
        <f>0!B180</f>
        <v>Cıvata sayısı</v>
      </c>
      <c r="C17" s="201"/>
      <c r="D17" s="201" t="s">
        <v>343</v>
      </c>
      <c r="E17" s="605">
        <v>10</v>
      </c>
      <c r="F17" s="600"/>
      <c r="L17" s="601" t="str">
        <f>B16</f>
        <v>Zorlama hali</v>
      </c>
      <c r="M17" s="201"/>
      <c r="N17" s="201"/>
      <c r="O17" s="603" t="s">
        <v>344</v>
      </c>
      <c r="P17" s="798"/>
      <c r="S17" s="101"/>
      <c r="X17" s="67"/>
      <c r="Y17" s="67"/>
      <c r="Z17" s="67"/>
      <c r="AA17" s="67"/>
    </row>
    <row r="18" spans="2:27" ht="14.25" customHeight="1">
      <c r="B18" s="200" t="str">
        <f>0!B178</f>
        <v>Kesit sayısı</v>
      </c>
      <c r="C18" s="476"/>
      <c r="D18" s="604" t="s">
        <v>92</v>
      </c>
      <c r="E18" s="605">
        <v>1</v>
      </c>
      <c r="F18" s="600"/>
      <c r="G18" s="606"/>
      <c r="K18" s="67"/>
      <c r="L18" s="601" t="str">
        <f>B17</f>
        <v>Cıvata sayısı</v>
      </c>
      <c r="M18" s="201"/>
      <c r="N18" s="201" t="s">
        <v>343</v>
      </c>
      <c r="O18" s="605">
        <v>10</v>
      </c>
      <c r="P18" s="798"/>
      <c r="S18" s="101"/>
      <c r="X18" s="67"/>
      <c r="Y18" s="67"/>
      <c r="Z18" s="67"/>
      <c r="AA18" s="67"/>
    </row>
    <row r="19" spans="1:27" ht="14.25" customHeight="1">
      <c r="A19" s="67"/>
      <c r="B19" s="162" t="str">
        <f>0!B119</f>
        <v>En ince plaka kalınlığı</v>
      </c>
      <c r="C19" s="164"/>
      <c r="D19" s="604" t="s">
        <v>345</v>
      </c>
      <c r="E19" s="165">
        <v>10</v>
      </c>
      <c r="F19" s="600"/>
      <c r="G19" s="606"/>
      <c r="K19" s="67"/>
      <c r="L19" s="200" t="str">
        <f>0!B162</f>
        <v>Sürtünme katsayısı</v>
      </c>
      <c r="M19" s="476"/>
      <c r="N19" s="607" t="s">
        <v>346</v>
      </c>
      <c r="O19" s="608">
        <v>0.3</v>
      </c>
      <c r="P19" s="798"/>
      <c r="S19" s="101"/>
      <c r="X19" s="67"/>
      <c r="Y19" s="67"/>
      <c r="Z19" s="67"/>
      <c r="AA19" s="67"/>
    </row>
    <row r="20" spans="1:16" ht="14.25" customHeight="1">
      <c r="A20" s="67"/>
      <c r="B20" s="176" t="str">
        <f>0!B120</f>
        <v>En küçük alan</v>
      </c>
      <c r="C20" s="177"/>
      <c r="D20" s="609" t="s">
        <v>276</v>
      </c>
      <c r="E20" s="610">
        <v>500</v>
      </c>
      <c r="F20" s="600"/>
      <c r="G20" s="606"/>
      <c r="H20" s="791" t="str">
        <f>0!B70</f>
        <v>Perno</v>
      </c>
      <c r="I20" s="791"/>
      <c r="L20" s="200" t="str">
        <f>0!B192</f>
        <v>Emniyet katsayısı</v>
      </c>
      <c r="M20" s="476"/>
      <c r="N20" s="137" t="s">
        <v>347</v>
      </c>
      <c r="O20" s="608">
        <v>1.25</v>
      </c>
      <c r="P20" s="798"/>
    </row>
    <row r="21" spans="1:16" ht="14.25" customHeight="1">
      <c r="A21" s="118">
        <f>A14+1</f>
        <v>2</v>
      </c>
      <c r="B21" s="152" t="str">
        <f>0!B93</f>
        <v>Emniyetli mukavemet değerleri</v>
      </c>
      <c r="C21" s="71"/>
      <c r="D21" s="759" t="s">
        <v>348</v>
      </c>
      <c r="E21" s="759"/>
      <c r="F21" s="600"/>
      <c r="G21" s="606"/>
      <c r="L21" s="176" t="str">
        <f>B20</f>
        <v>En küçük alan</v>
      </c>
      <c r="M21" s="177"/>
      <c r="N21" s="609" t="s">
        <v>276</v>
      </c>
      <c r="O21" s="610">
        <v>740</v>
      </c>
      <c r="P21" s="798"/>
    </row>
    <row r="22" spans="1:16" ht="14.25" customHeight="1">
      <c r="A22" s="71"/>
      <c r="B22" s="796" t="str">
        <f>0!B69</f>
        <v>Plaka </v>
      </c>
      <c r="C22" s="797" t="s">
        <v>349</v>
      </c>
      <c r="D22" s="611" t="s">
        <v>350</v>
      </c>
      <c r="E22" s="612">
        <v>320</v>
      </c>
      <c r="F22" s="613"/>
      <c r="G22" s="614"/>
      <c r="K22" s="118">
        <f>K30+1</f>
        <v>3</v>
      </c>
      <c r="L22" s="152" t="str">
        <f>B27</f>
        <v>Çap seçimi</v>
      </c>
      <c r="M22" s="71"/>
      <c r="N22" s="759" t="s">
        <v>351</v>
      </c>
      <c r="O22" s="759"/>
      <c r="P22" s="798"/>
    </row>
    <row r="23" spans="2:16" ht="14.25" customHeight="1">
      <c r="B23" s="796"/>
      <c r="C23" s="797"/>
      <c r="D23" s="615" t="s">
        <v>352</v>
      </c>
      <c r="E23" s="616">
        <v>290</v>
      </c>
      <c r="F23" s="613"/>
      <c r="G23" s="614"/>
      <c r="L23" s="617" t="str">
        <f>0!B84</f>
        <v>Gerekli ön gerilim kuvveti</v>
      </c>
      <c r="M23" s="401"/>
      <c r="N23" s="598" t="s">
        <v>353</v>
      </c>
      <c r="O23" s="618">
        <f>IF(O16&lt;0.01,O15/O18*O20/O19,O15/O18*O20/O19+O16)</f>
        <v>82.66666666666667</v>
      </c>
      <c r="P23" s="798"/>
    </row>
    <row r="24" spans="2:19" ht="14.25" customHeight="1">
      <c r="B24" s="794" t="str">
        <f>0!B179</f>
        <v>Cıvata</v>
      </c>
      <c r="C24" s="795">
        <v>4.6</v>
      </c>
      <c r="D24" s="615" t="s">
        <v>350</v>
      </c>
      <c r="E24" s="616">
        <v>320</v>
      </c>
      <c r="F24" s="613"/>
      <c r="G24" s="614"/>
      <c r="L24" s="601"/>
      <c r="M24" s="619" t="str">
        <f>C30</f>
        <v>Seçilen</v>
      </c>
      <c r="N24" s="620">
        <v>10.9</v>
      </c>
      <c r="O24" s="621">
        <v>16</v>
      </c>
      <c r="P24" s="798"/>
      <c r="S24" s="101"/>
    </row>
    <row r="25" spans="2:19" ht="14.25" customHeight="1">
      <c r="B25" s="794"/>
      <c r="C25" s="795"/>
      <c r="D25" s="615" t="s">
        <v>354</v>
      </c>
      <c r="E25" s="616">
        <v>140</v>
      </c>
      <c r="F25" s="613"/>
      <c r="G25" s="614"/>
      <c r="L25" s="162" t="str">
        <f>0!B200</f>
        <v>Adım veya hatve</v>
      </c>
      <c r="M25" s="164"/>
      <c r="N25" s="195" t="s">
        <v>109</v>
      </c>
      <c r="O25" s="378">
        <v>2</v>
      </c>
      <c r="P25" s="798"/>
      <c r="S25" s="101"/>
    </row>
    <row r="26" spans="1:19" ht="14.25" customHeight="1">
      <c r="A26" s="214"/>
      <c r="B26" s="622" t="str">
        <f>0!B143</f>
        <v>İzdüşüm</v>
      </c>
      <c r="C26" s="623"/>
      <c r="D26" s="624" t="s">
        <v>355</v>
      </c>
      <c r="E26" s="625">
        <f>MIN(E22:E24)</f>
        <v>290</v>
      </c>
      <c r="F26" s="600"/>
      <c r="G26" s="606"/>
      <c r="L26" s="601" t="str">
        <f>0!B113</f>
        <v>Vidada sürtünme sayısı</v>
      </c>
      <c r="M26" s="201"/>
      <c r="N26" s="626" t="s">
        <v>92</v>
      </c>
      <c r="O26" s="627">
        <v>0.12</v>
      </c>
      <c r="P26" s="798"/>
      <c r="S26" s="101"/>
    </row>
    <row r="27" spans="1:19" ht="14.25" customHeight="1">
      <c r="A27" s="118">
        <f>A21+1</f>
        <v>3</v>
      </c>
      <c r="B27" s="152" t="str">
        <f>0!B77</f>
        <v>Çap seçimi</v>
      </c>
      <c r="C27" s="71"/>
      <c r="D27" s="67"/>
      <c r="E27" s="71"/>
      <c r="F27" s="600"/>
      <c r="G27" s="606"/>
      <c r="L27" s="601" t="str">
        <f>B31</f>
        <v>Şaft çapı</v>
      </c>
      <c r="M27" s="201"/>
      <c r="N27" s="332" t="s">
        <v>107</v>
      </c>
      <c r="O27" s="628">
        <v>16</v>
      </c>
      <c r="P27" s="798"/>
      <c r="S27" s="101"/>
    </row>
    <row r="28" spans="2:19" ht="14.25" customHeight="1">
      <c r="B28" s="158" t="str">
        <f>0!B149</f>
        <v>Kesmeye göre</v>
      </c>
      <c r="C28" s="159"/>
      <c r="D28" s="629" t="s">
        <v>356</v>
      </c>
      <c r="E28" s="469">
        <f>(4*E15/E17/(PI()*E18*E25))^(0.5)</f>
        <v>11.283791670955127</v>
      </c>
      <c r="F28" s="600"/>
      <c r="G28" s="606"/>
      <c r="H28" s="791" t="str">
        <f>0!B202</f>
        <v>Pim</v>
      </c>
      <c r="I28" s="791"/>
      <c r="L28" s="630" t="s">
        <v>213</v>
      </c>
      <c r="M28" s="631" t="str">
        <f>0!B41</f>
        <v>Alınan</v>
      </c>
      <c r="N28" s="632">
        <v>350</v>
      </c>
      <c r="O28" s="633">
        <v>175</v>
      </c>
      <c r="P28" s="798"/>
      <c r="S28" s="101"/>
    </row>
    <row r="29" spans="2:19" ht="14.25" customHeight="1">
      <c r="B29" s="162" t="str">
        <f>0!B151</f>
        <v>İzdüşüme göre</v>
      </c>
      <c r="C29" s="163"/>
      <c r="D29" s="634" t="s">
        <v>357</v>
      </c>
      <c r="E29" s="305">
        <f>E15/E17/E19/E26</f>
        <v>4.827586206896552</v>
      </c>
      <c r="F29" s="600"/>
      <c r="G29" s="606"/>
      <c r="L29" s="635" t="s">
        <v>358</v>
      </c>
      <c r="M29" s="636" t="str">
        <f>M28</f>
        <v>Alınan</v>
      </c>
      <c r="N29" s="637">
        <v>100</v>
      </c>
      <c r="O29" s="638">
        <f>N29*O28/N28</f>
        <v>50</v>
      </c>
      <c r="P29" s="798"/>
      <c r="S29" s="101"/>
    </row>
    <row r="30" spans="2:19" ht="14.25" customHeight="1">
      <c r="B30" s="601"/>
      <c r="C30" s="619" t="str">
        <f>0!B52</f>
        <v>Seçilen</v>
      </c>
      <c r="D30" s="639">
        <f>MAX(E28:E29)</f>
        <v>11.283791670955127</v>
      </c>
      <c r="E30" s="621">
        <v>12</v>
      </c>
      <c r="F30" s="600"/>
      <c r="G30" s="606"/>
      <c r="K30" s="118">
        <f>K14+1</f>
        <v>2</v>
      </c>
      <c r="L30" s="152" t="str">
        <f>B21</f>
        <v>Emniyetli mukavemet değerleri</v>
      </c>
      <c r="M30" s="71"/>
      <c r="N30" s="759" t="s">
        <v>351</v>
      </c>
      <c r="O30" s="759"/>
      <c r="P30" s="798"/>
      <c r="S30" s="101"/>
    </row>
    <row r="31" spans="2:16" ht="14.25" customHeight="1">
      <c r="B31" s="601" t="str">
        <f>0!B165</f>
        <v>Şaft çapı</v>
      </c>
      <c r="C31" s="201"/>
      <c r="D31" s="201" t="s">
        <v>107</v>
      </c>
      <c r="E31" s="640">
        <v>13</v>
      </c>
      <c r="F31" s="600"/>
      <c r="G31" s="606"/>
      <c r="L31" s="553" t="str">
        <f>B24</f>
        <v>Cıvata</v>
      </c>
      <c r="M31" s="641">
        <v>10.9</v>
      </c>
      <c r="N31" s="642" t="s">
        <v>359</v>
      </c>
      <c r="O31" s="612">
        <v>900</v>
      </c>
      <c r="P31" s="798"/>
    </row>
    <row r="32" spans="2:23" ht="14.25" customHeight="1">
      <c r="B32" s="643" t="str">
        <f>0!B76</f>
        <v>Geçiş deliği çapı</v>
      </c>
      <c r="C32" s="426"/>
      <c r="D32" s="426" t="s">
        <v>360</v>
      </c>
      <c r="E32" s="644">
        <v>13.2</v>
      </c>
      <c r="F32" s="600"/>
      <c r="G32" s="606"/>
      <c r="L32" s="645"/>
      <c r="M32" s="646"/>
      <c r="N32" s="647" t="s">
        <v>361</v>
      </c>
      <c r="O32" s="616">
        <v>500</v>
      </c>
      <c r="P32" s="798"/>
      <c r="T32" s="158" t="str">
        <f>0!B94</f>
        <v>Bölüm dairesi çapı</v>
      </c>
      <c r="U32" s="189"/>
      <c r="V32" s="414" t="s">
        <v>129</v>
      </c>
      <c r="W32" s="469">
        <f>O24-0.64952*O25</f>
        <v>14.70096</v>
      </c>
    </row>
    <row r="33" spans="1:23" ht="14.25" customHeight="1">
      <c r="A33" s="118">
        <f>A27+1</f>
        <v>4</v>
      </c>
      <c r="B33" s="152" t="str">
        <f>0!B130</f>
        <v>Kontroller</v>
      </c>
      <c r="C33" s="67"/>
      <c r="F33" s="600"/>
      <c r="G33" s="606"/>
      <c r="L33" s="648" t="str">
        <f>B22</f>
        <v>Plaka </v>
      </c>
      <c r="M33" s="649" t="s">
        <v>362</v>
      </c>
      <c r="N33" s="650" t="s">
        <v>363</v>
      </c>
      <c r="O33" s="310">
        <v>290</v>
      </c>
      <c r="P33" s="798"/>
      <c r="T33" s="162" t="str">
        <f>0!B117</f>
        <v>Diş dibi çapı</v>
      </c>
      <c r="U33" s="164"/>
      <c r="V33" s="213" t="s">
        <v>136</v>
      </c>
      <c r="W33" s="305">
        <f>O24-1.22687*O25</f>
        <v>13.54626</v>
      </c>
    </row>
    <row r="34" spans="2:23" ht="14.25" customHeight="1">
      <c r="B34" s="158" t="str">
        <f>0!B39</f>
        <v>Kesme</v>
      </c>
      <c r="C34" s="159"/>
      <c r="D34" s="651" t="s">
        <v>364</v>
      </c>
      <c r="E34" s="652">
        <f>E15/(E18*PI()*E31^2/4)/E17</f>
        <v>105.47546524433301</v>
      </c>
      <c r="F34" s="600"/>
      <c r="G34" s="606"/>
      <c r="K34" s="118">
        <f>K22+1</f>
        <v>4</v>
      </c>
      <c r="L34" s="152" t="str">
        <f>B33</f>
        <v>Kontroller</v>
      </c>
      <c r="M34" s="67"/>
      <c r="P34" s="798"/>
      <c r="T34" s="200" t="str">
        <f>0!B223</f>
        <v>Tor. Karşıkoyma Momenti</v>
      </c>
      <c r="U34" s="163"/>
      <c r="V34" s="213"/>
      <c r="W34" s="318">
        <f>PI()*W33^3/16</f>
        <v>488.0767397172442</v>
      </c>
    </row>
    <row r="35" spans="2:23" ht="14.25" customHeight="1">
      <c r="B35" s="162" t="str">
        <f>0!B143</f>
        <v>İzdüşüm</v>
      </c>
      <c r="C35" s="163"/>
      <c r="D35" s="653" t="s">
        <v>365</v>
      </c>
      <c r="E35" s="654">
        <f>E15/E31/E19/E17</f>
        <v>107.6923076923077</v>
      </c>
      <c r="L35" s="790" t="str">
        <f>B36</f>
        <v>Çekme gerilimi</v>
      </c>
      <c r="M35" s="655" t="str">
        <f>B24</f>
        <v>Cıvata</v>
      </c>
      <c r="N35" s="651" t="s">
        <v>366</v>
      </c>
      <c r="O35" s="652">
        <f>IF(O16&lt;0.01,O29/W39,(O29+O16)/W39)*10^3</f>
        <v>421.2720253756442</v>
      </c>
      <c r="T35" s="200" t="str">
        <f>0!B201</f>
        <v>Helis açısı</v>
      </c>
      <c r="U35" s="163"/>
      <c r="V35" s="237" t="s">
        <v>130</v>
      </c>
      <c r="W35" s="307">
        <f>180*(ATAN(O25/PI()/W32))/PI()</f>
        <v>2.4796238420945653</v>
      </c>
    </row>
    <row r="36" spans="2:23" ht="14.25" customHeight="1">
      <c r="B36" s="176" t="str">
        <f>0!B225</f>
        <v>Çekme gerilimi</v>
      </c>
      <c r="C36" s="148"/>
      <c r="D36" s="656" t="s">
        <v>367</v>
      </c>
      <c r="E36" s="625">
        <f>E15/E20</f>
        <v>280</v>
      </c>
      <c r="L36" s="790"/>
      <c r="M36" s="657" t="str">
        <f>B22</f>
        <v>Plaka </v>
      </c>
      <c r="N36" s="656" t="s">
        <v>368</v>
      </c>
      <c r="O36" s="625">
        <f>O15/O21*10^3</f>
        <v>216.21621621621622</v>
      </c>
      <c r="T36" s="658" t="str">
        <f>0!B108</f>
        <v>Vida</v>
      </c>
      <c r="U36" s="659" t="s">
        <v>99</v>
      </c>
      <c r="V36" s="660">
        <f>O26</f>
        <v>0.12</v>
      </c>
      <c r="W36" s="661">
        <f>180*(ATAN(O26))/PI()</f>
        <v>6.84277341263094</v>
      </c>
    </row>
    <row r="37" spans="1:23" ht="14.25" customHeight="1">
      <c r="A37" s="118">
        <f>A33+1</f>
        <v>5</v>
      </c>
      <c r="B37" s="152" t="str">
        <f>0!B86</f>
        <v>Sonuçlar</v>
      </c>
      <c r="H37" s="791" t="str">
        <f>0!B157</f>
        <v>Punta kaynak</v>
      </c>
      <c r="I37" s="791"/>
      <c r="K37" s="118">
        <f>K34+1</f>
        <v>5</v>
      </c>
      <c r="L37" s="152" t="str">
        <f>B37</f>
        <v>Sonuçlar</v>
      </c>
      <c r="T37" s="662" t="s">
        <v>115</v>
      </c>
      <c r="U37" s="663"/>
      <c r="V37" s="201"/>
      <c r="W37" s="664">
        <f>O29*W32/2*TAN((W35+W36)*PI()/180)</f>
        <v>60.33189241097209</v>
      </c>
    </row>
    <row r="38" spans="2:23" ht="14.25" customHeight="1">
      <c r="B38" s="532" t="s">
        <v>369</v>
      </c>
      <c r="C38" s="665"/>
      <c r="D38" s="533">
        <f>E25/E34</f>
        <v>1.3273228961416876</v>
      </c>
      <c r="E38" s="63" t="str">
        <f>IF(D38&lt;1,0!B254,0!B253)</f>
        <v>  Yeterli</v>
      </c>
      <c r="L38" s="532" t="s">
        <v>370</v>
      </c>
      <c r="M38" s="665"/>
      <c r="N38" s="533">
        <f>O31/O35</f>
        <v>2.136386813716099</v>
      </c>
      <c r="O38" s="63" t="str">
        <f>IF(N38&lt;1,0!B254,0!B253)</f>
        <v>  Yeterli</v>
      </c>
      <c r="T38" s="200" t="str">
        <f>0!B195</f>
        <v>Gerilim çapı</v>
      </c>
      <c r="U38" s="163"/>
      <c r="V38" s="213" t="s">
        <v>152</v>
      </c>
      <c r="W38" s="315">
        <f>(W32+W33)/2</f>
        <v>14.12361</v>
      </c>
    </row>
    <row r="39" spans="2:23" ht="14.25" customHeight="1">
      <c r="B39" s="543" t="s">
        <v>371</v>
      </c>
      <c r="C39" s="666"/>
      <c r="D39" s="544">
        <f>E26/E35</f>
        <v>2.6928571428571426</v>
      </c>
      <c r="E39" s="63" t="str">
        <f>IF(D39&lt;1,0!B254,0!B253)</f>
        <v>  Yeterli</v>
      </c>
      <c r="H39" s="792" t="s">
        <v>372</v>
      </c>
      <c r="I39" s="792"/>
      <c r="L39" s="543" t="s">
        <v>373</v>
      </c>
      <c r="M39" s="666"/>
      <c r="N39" s="544">
        <f>O33/O36</f>
        <v>1.34125</v>
      </c>
      <c r="O39" s="63" t="str">
        <f>IF(N39&lt;1,0!B254,0!B253)</f>
        <v>  Yeterli</v>
      </c>
      <c r="T39" s="200" t="str">
        <f>0!B196</f>
        <v>Gerilim alanı</v>
      </c>
      <c r="U39" s="163"/>
      <c r="V39" s="213" t="s">
        <v>155</v>
      </c>
      <c r="W39" s="222">
        <f>PI()*(W38)^2/4</f>
        <v>156.66836633918058</v>
      </c>
    </row>
    <row r="40" spans="2:23" ht="14.25" customHeight="1">
      <c r="B40" s="536" t="s">
        <v>374</v>
      </c>
      <c r="C40" s="667"/>
      <c r="D40" s="537">
        <f>E23/E36</f>
        <v>1.0357142857142858</v>
      </c>
      <c r="E40" s="63" t="str">
        <f>IF(D40&lt;1,0!B254,0!B253)</f>
        <v>  Yeterli</v>
      </c>
      <c r="G40" s="593" t="str">
        <f>0!B56</f>
        <v>Düşünceler :</v>
      </c>
      <c r="H40" s="793"/>
      <c r="I40" s="793"/>
      <c r="J40" s="793"/>
      <c r="L40" s="536" t="s">
        <v>375</v>
      </c>
      <c r="M40" s="667"/>
      <c r="N40" s="537">
        <f>(O35/O31)^2+(W40/O32)^2</f>
        <v>0.2802181133794483</v>
      </c>
      <c r="O40" s="63" t="str">
        <f>IF(N40&gt;1,0!B254,0!B253)</f>
        <v>  Yeterli</v>
      </c>
      <c r="T40" s="668" t="s">
        <v>119</v>
      </c>
      <c r="U40" s="426"/>
      <c r="V40" s="656" t="s">
        <v>376</v>
      </c>
      <c r="W40" s="669">
        <f>W37/W34*10^3</f>
        <v>123.61148873007951</v>
      </c>
    </row>
    <row r="41" spans="2:15" ht="14.25" customHeight="1">
      <c r="B41" s="779" t="str">
        <f>IF(MIN(D38:D39)&lt;0.999,0!B251,0!B250)</f>
        <v>Bütün değerler yeterli. Konstruksiyon yapılabilir</v>
      </c>
      <c r="C41" s="779"/>
      <c r="D41" s="779"/>
      <c r="E41" s="779"/>
      <c r="G41" s="789"/>
      <c r="H41" s="789"/>
      <c r="I41" s="789"/>
      <c r="J41" s="789"/>
      <c r="L41" s="779" t="str">
        <f>IF(MIN(N38:N39)&lt;0.999,0!B251,0!B250)</f>
        <v>Bütün değerler yeterli. Konstruksiyon yapılabilir</v>
      </c>
      <c r="M41" s="779"/>
      <c r="N41" s="779"/>
      <c r="O41" s="779"/>
    </row>
    <row r="42" spans="2:15" ht="14.25" customHeight="1">
      <c r="B42" s="779"/>
      <c r="C42" s="779"/>
      <c r="D42" s="779"/>
      <c r="E42" s="779"/>
      <c r="G42" s="789"/>
      <c r="H42" s="789"/>
      <c r="I42" s="789"/>
      <c r="J42" s="789"/>
      <c r="L42" s="779"/>
      <c r="M42" s="779"/>
      <c r="N42" s="779"/>
      <c r="O42" s="779"/>
    </row>
    <row r="43" spans="7:10" ht="14.25" customHeight="1">
      <c r="G43" s="278" t="s">
        <v>162</v>
      </c>
      <c r="H43" s="279" t="s">
        <v>165</v>
      </c>
      <c r="I43" s="280"/>
      <c r="J43" s="281"/>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password="EF77" sheet="1" objects="1" scenarios="1"/>
  <mergeCells count="20">
    <mergeCell ref="M2:O2"/>
    <mergeCell ref="H11:I11"/>
    <mergeCell ref="P15:P34"/>
    <mergeCell ref="H20:I20"/>
    <mergeCell ref="D21:E21"/>
    <mergeCell ref="B22:B23"/>
    <mergeCell ref="C22:C23"/>
    <mergeCell ref="N22:O22"/>
    <mergeCell ref="B24:B25"/>
    <mergeCell ref="C24:C25"/>
    <mergeCell ref="H28:I28"/>
    <mergeCell ref="N30:O30"/>
    <mergeCell ref="L35:L36"/>
    <mergeCell ref="H37:I37"/>
    <mergeCell ref="H39:I39"/>
    <mergeCell ref="H40:J40"/>
    <mergeCell ref="B41:E42"/>
    <mergeCell ref="G41:J41"/>
    <mergeCell ref="L41:O42"/>
    <mergeCell ref="G42:J42"/>
  </mergeCells>
  <conditionalFormatting sqref="B41:E42 L41:O42">
    <cfRule type="cellIs" priority="1" dxfId="0" operator="notEqual" stopIfTrue="1">
      <formula>0</formula>
    </cfRule>
  </conditionalFormatting>
  <printOptions horizontalCentered="1" verticalCentered="1"/>
  <pageMargins left="0.39375" right="0.39375" top="0.7875" bottom="0.7875" header="0.5118055555555555" footer="0.5118055555555555"/>
  <pageSetup horizontalDpi="300" verticalDpi="300" orientation="landscape" paperSize="9" scale="79"/>
  <headerFooter alignWithMargins="0">
    <oddFooter>&amp;L&amp;D / &amp;F / &amp;A&amp;R&amp;P von &amp;N</oddFooter>
  </headerFooter>
  <legacyDrawing r:id="rId7"/>
  <oleObjects>
    <oleObject progId="" shapeId="120515372" r:id="rId1"/>
    <oleObject progId="" shapeId="120515596" r:id="rId2"/>
    <oleObject progId="" shapeId="120515190" r:id="rId3"/>
    <oleObject progId="" shapeId="120515274" r:id="rId4"/>
    <oleObject progId="" shapeId="120515330" r:id="rId5"/>
    <oleObject progId="" shapeId="120515386" r:id="rId6"/>
  </oleObjects>
</worksheet>
</file>

<file path=xl/worksheets/sheet9.xml><?xml version="1.0" encoding="utf-8"?>
<worksheet xmlns="http://schemas.openxmlformats.org/spreadsheetml/2006/main" xmlns:r="http://schemas.openxmlformats.org/officeDocument/2006/relationships">
  <dimension ref="A1:S70"/>
  <sheetViews>
    <sheetView showGridLines="0" showRowColHeaders="0" zoomScale="80" zoomScaleNormal="80" workbookViewId="0" topLeftCell="A1">
      <selection activeCell="D37" sqref="D37"/>
    </sheetView>
  </sheetViews>
  <sheetFormatPr defaultColWidth="11.421875" defaultRowHeight="12.75"/>
  <cols>
    <col min="1" max="1" width="4.7109375" style="67" customWidth="1"/>
    <col min="2" max="2" width="11.7109375" style="67" customWidth="1"/>
    <col min="3" max="3" width="18.140625" style="67" customWidth="1"/>
    <col min="4" max="4" width="11.7109375" style="67" customWidth="1"/>
    <col min="5" max="5" width="13.28125" style="67" customWidth="1"/>
    <col min="6" max="6" width="4.7109375" style="67" customWidth="1"/>
    <col min="7" max="7" width="11.7109375" style="67" customWidth="1"/>
    <col min="8" max="8" width="14.140625" style="67" customWidth="1"/>
    <col min="9" max="9" width="12.57421875" style="67" customWidth="1"/>
    <col min="10" max="10" width="11.7109375" style="67" customWidth="1"/>
    <col min="11" max="11" width="13.00390625" style="67" customWidth="1"/>
    <col min="12" max="14" width="11.7109375" style="67" customWidth="1"/>
    <col min="15" max="15" width="7.57421875" style="67" customWidth="1"/>
    <col min="16" max="16" width="4.7109375" style="67" customWidth="1"/>
    <col min="17" max="17" width="4.421875" style="67" customWidth="1"/>
    <col min="18" max="26" width="11.7109375" style="67" customWidth="1"/>
    <col min="27" max="16384" width="11.421875" style="67" customWidth="1"/>
  </cols>
  <sheetData>
    <row r="1" spans="7:11" ht="15" customHeight="1">
      <c r="G1" s="3" t="str">
        <f>Info!N11</f>
        <v>Copyright : M. G. Kutay , Ver 2013.01</v>
      </c>
      <c r="K1" s="670" t="str">
        <f>Info!B11</f>
        <v>www.guven-kutay.ch</v>
      </c>
    </row>
    <row r="2" spans="2:15" ht="14.25" customHeight="1">
      <c r="B2" s="92" t="str">
        <f>0!B242</f>
        <v>7. Haraket cıvataları</v>
      </c>
      <c r="C2" s="71"/>
      <c r="D2" s="68"/>
      <c r="E2" s="68"/>
      <c r="F2" s="71"/>
      <c r="G2" s="101"/>
      <c r="H2" s="101"/>
      <c r="I2" s="101"/>
      <c r="J2" s="101"/>
      <c r="K2" s="101"/>
      <c r="O2" s="101"/>
    </row>
    <row r="3" spans="2:15" ht="14.25" customHeight="1">
      <c r="B3" s="71"/>
      <c r="C3" s="71"/>
      <c r="D3" s="68"/>
      <c r="E3" s="68"/>
      <c r="F3" s="71"/>
      <c r="G3" s="101"/>
      <c r="H3" s="101"/>
      <c r="I3" s="101"/>
      <c r="J3" s="101"/>
      <c r="K3" s="101"/>
      <c r="O3" s="101"/>
    </row>
    <row r="4" spans="2:15" ht="14.25" customHeight="1">
      <c r="B4" s="593" t="str">
        <f>0!B156</f>
        <v>Proje :</v>
      </c>
      <c r="C4" s="752">
        <v>1</v>
      </c>
      <c r="D4" s="752"/>
      <c r="E4" s="752"/>
      <c r="F4" s="752"/>
      <c r="G4" s="752"/>
      <c r="L4" s="101"/>
      <c r="M4" s="71"/>
      <c r="N4" s="71"/>
      <c r="O4" s="101"/>
    </row>
    <row r="5" ht="14.25" customHeight="1"/>
    <row r="6" spans="1:7" ht="14.25" customHeight="1">
      <c r="A6" s="118">
        <v>1</v>
      </c>
      <c r="B6" s="62" t="str">
        <f>0!B60</f>
        <v>İşletme değerleri :</v>
      </c>
      <c r="C6" s="62"/>
      <c r="F6" s="118">
        <f>A35+1</f>
        <v>5</v>
      </c>
      <c r="G6" s="62" t="str">
        <f>0!B138</f>
        <v>Kuvvet ve momentler</v>
      </c>
    </row>
    <row r="7" spans="2:10" ht="14.25" customHeight="1">
      <c r="B7" s="413" t="str">
        <f>0!B126</f>
        <v>Flambaj, Burkma kuvveti</v>
      </c>
      <c r="C7" s="470"/>
      <c r="D7" s="598" t="s">
        <v>377</v>
      </c>
      <c r="E7" s="671">
        <v>50</v>
      </c>
      <c r="G7" s="413" t="str">
        <f>0!B96</f>
        <v>Yanaklardaki normal kuvvet</v>
      </c>
      <c r="H7" s="470"/>
      <c r="I7" s="672" t="s">
        <v>378</v>
      </c>
      <c r="J7" s="673">
        <f>E7/COS(E31/2*PI()/180)</f>
        <v>51.76380902050415</v>
      </c>
    </row>
    <row r="8" spans="1:10" ht="14.25" customHeight="1">
      <c r="A8" s="101"/>
      <c r="B8" s="200" t="str">
        <f>0!B192</f>
        <v>Emniyet katsayısı</v>
      </c>
      <c r="C8" s="476"/>
      <c r="D8" s="137" t="s">
        <v>379</v>
      </c>
      <c r="E8" s="674">
        <v>8</v>
      </c>
      <c r="G8" s="183" t="str">
        <f>0!B112</f>
        <v>Vidadaki sürtünme momenti</v>
      </c>
      <c r="H8" s="476"/>
      <c r="I8" s="530" t="s">
        <v>380</v>
      </c>
      <c r="J8" s="675">
        <f>0.5*J7*E28*TAN((E34+E37)*PI()/180)</f>
        <v>180.8346805961088</v>
      </c>
    </row>
    <row r="9" spans="1:10" ht="14.25" customHeight="1">
      <c r="A9" s="101"/>
      <c r="B9" s="183" t="str">
        <f>0!B127</f>
        <v>Burkulma boyu</v>
      </c>
      <c r="C9" s="476"/>
      <c r="D9" s="604" t="s">
        <v>381</v>
      </c>
      <c r="E9" s="676">
        <v>1000</v>
      </c>
      <c r="G9" s="183"/>
      <c r="H9" s="476"/>
      <c r="I9" s="530" t="s">
        <v>382</v>
      </c>
      <c r="J9" s="675">
        <f>0.5*J7*E28*TAN((E37-E34)*PI()/180)</f>
        <v>47.696609354177596</v>
      </c>
    </row>
    <row r="10" spans="1:10" ht="14.25" customHeight="1">
      <c r="A10" s="101"/>
      <c r="B10" s="677" t="str">
        <f>0!B140</f>
        <v>Yatak çapı</v>
      </c>
      <c r="C10" s="678"/>
      <c r="D10" s="476" t="s">
        <v>383</v>
      </c>
      <c r="E10" s="676"/>
      <c r="G10" s="269" t="str">
        <f>0!B141</f>
        <v>Yatakdaki sürtünme momenti</v>
      </c>
      <c r="H10" s="484"/>
      <c r="I10" s="540" t="s">
        <v>384</v>
      </c>
      <c r="J10" s="679">
        <f>IF(E10&lt;0.01,"",E7*D37*(E10+E11)/4)</f>
      </c>
    </row>
    <row r="11" spans="2:5" ht="14.25" customHeight="1">
      <c r="B11" s="129"/>
      <c r="C11" s="130"/>
      <c r="D11" s="476" t="s">
        <v>385</v>
      </c>
      <c r="E11" s="676"/>
    </row>
    <row r="12" spans="2:7" ht="14.25" customHeight="1">
      <c r="B12" s="183" t="str">
        <f>0!B148</f>
        <v>Somun hareket hızı</v>
      </c>
      <c r="C12" s="476"/>
      <c r="D12" s="476" t="str">
        <f>IF(Info!$H$13&gt;2.5,"v = m/min",IF(Info!$H$13&gt;1.5,"v = m/min","v = m/dak"))</f>
        <v>v = m/dak</v>
      </c>
      <c r="E12" s="608"/>
      <c r="F12" s="118">
        <f>F6+1</f>
        <v>6</v>
      </c>
      <c r="G12" s="62" t="str">
        <f>0!B194</f>
        <v>İşletmedeki gerilimler</v>
      </c>
    </row>
    <row r="13" spans="2:10" ht="14.25" customHeight="1">
      <c r="B13" s="269" t="str">
        <f>0!B206</f>
        <v>Devir sayısı</v>
      </c>
      <c r="C13" s="484"/>
      <c r="D13" s="484" t="str">
        <f>IF(Info!$H$13&gt;2.5,"n = 1/min",IF(Info!$H$13&gt;1.5,"n = 1/min","n = d/dak"))</f>
        <v>n = d/dak</v>
      </c>
      <c r="E13" s="680"/>
      <c r="G13" s="413" t="str">
        <f>0!B75</f>
        <v>Basma gerilimi</v>
      </c>
      <c r="H13" s="470"/>
      <c r="I13" s="250" t="s">
        <v>386</v>
      </c>
      <c r="J13" s="681">
        <f>J7/E32*10^3</f>
        <v>43.33183999409902</v>
      </c>
    </row>
    <row r="14" spans="4:10" ht="14.25" customHeight="1">
      <c r="D14" s="682" t="s">
        <v>162</v>
      </c>
      <c r="E14" s="683" t="s">
        <v>387</v>
      </c>
      <c r="G14" s="183" t="str">
        <f>0!B205</f>
        <v>Torsiyon gerilimi</v>
      </c>
      <c r="H14" s="476"/>
      <c r="I14" s="218" t="s">
        <v>388</v>
      </c>
      <c r="J14" s="684">
        <f>J8/E33*10^3</f>
        <v>15.525943889446426</v>
      </c>
    </row>
    <row r="15" spans="1:10" ht="14.25" customHeight="1">
      <c r="A15" s="118">
        <f>A6+1</f>
        <v>2</v>
      </c>
      <c r="B15" s="152" t="str">
        <f>0!B73</f>
        <v>Cıvatanın değerleri :</v>
      </c>
      <c r="C15" s="71"/>
      <c r="D15" s="799" t="s">
        <v>389</v>
      </c>
      <c r="E15" s="799"/>
      <c r="G15" s="183" t="str">
        <f>0!B42</f>
        <v>Zorlanma katsayısı</v>
      </c>
      <c r="H15" s="476"/>
      <c r="I15" s="396" t="s">
        <v>390</v>
      </c>
      <c r="J15" s="674">
        <v>1</v>
      </c>
    </row>
    <row r="16" spans="2:15" ht="14.25" customHeight="1">
      <c r="B16" s="158" t="str">
        <f>0!B222</f>
        <v>Malzeme</v>
      </c>
      <c r="C16" s="388"/>
      <c r="D16" s="470"/>
      <c r="E16" s="161" t="s">
        <v>391</v>
      </c>
      <c r="G16" s="269" t="str">
        <f>0!B209</f>
        <v>Bileşik gerilim</v>
      </c>
      <c r="H16" s="484"/>
      <c r="I16" s="226" t="s">
        <v>392</v>
      </c>
      <c r="J16" s="685">
        <f>(J13^2+3*(J15*J14)^2)^(1/2)</f>
        <v>50.998168185229126</v>
      </c>
      <c r="K16" s="101"/>
      <c r="L16" s="101"/>
      <c r="M16" s="101"/>
      <c r="N16" s="101"/>
      <c r="O16" s="101"/>
    </row>
    <row r="17" spans="2:7" ht="14.25" customHeight="1">
      <c r="B17" s="162" t="str">
        <f>0!B204</f>
        <v>Isı  °C</v>
      </c>
      <c r="C17" s="163"/>
      <c r="D17" s="164"/>
      <c r="E17" s="165">
        <v>20</v>
      </c>
      <c r="F17" s="118">
        <f>F12+1</f>
        <v>7</v>
      </c>
      <c r="G17" s="62" t="str">
        <f>0!B131</f>
        <v>Flambaj kontrolü</v>
      </c>
    </row>
    <row r="18" spans="2:10" ht="14.25" customHeight="1">
      <c r="B18" s="162" t="str">
        <f>0!B71</f>
        <v>Kopma mukavemeti Rm</v>
      </c>
      <c r="C18" s="163"/>
      <c r="D18" s="164" t="s">
        <v>100</v>
      </c>
      <c r="E18" s="171">
        <v>490</v>
      </c>
      <c r="G18" s="158" t="str">
        <f>0!B175</f>
        <v>Narinlik derecesi</v>
      </c>
      <c r="H18" s="159"/>
      <c r="I18" s="686" t="s">
        <v>393</v>
      </c>
      <c r="J18" s="687">
        <f>4*E9/E29</f>
        <v>102.56410256410257</v>
      </c>
    </row>
    <row r="19" spans="2:10" ht="14.25" customHeight="1">
      <c r="B19" s="162" t="str">
        <f>0!B199</f>
        <v>Akma sınırı Re</v>
      </c>
      <c r="C19" s="163"/>
      <c r="D19" s="164" t="s">
        <v>100</v>
      </c>
      <c r="E19" s="171">
        <v>305</v>
      </c>
      <c r="G19" s="183" t="str">
        <f>0!B128</f>
        <v>Burkulma gerilmesi</v>
      </c>
      <c r="H19" s="476"/>
      <c r="I19" s="530" t="str">
        <f>IF(E16="St50",G59,G58)</f>
        <v>TETMAJER</v>
      </c>
      <c r="J19" s="219">
        <f>IF(E16="St50",H59,H58)</f>
        <v>246.4102564102564</v>
      </c>
    </row>
    <row r="20" spans="2:11" ht="14.25" customHeight="1">
      <c r="B20" s="183" t="str">
        <f>0!B192</f>
        <v>Emniyet katsayısı</v>
      </c>
      <c r="C20" s="476"/>
      <c r="D20" s="688">
        <v>2</v>
      </c>
      <c r="E20" s="219">
        <f>E19/D20</f>
        <v>152.5</v>
      </c>
      <c r="G20" s="183">
        <f>IF(I19="TETMAJER","",B8)</f>
      </c>
      <c r="H20" s="476"/>
      <c r="I20" s="689" t="str">
        <f>IF(I19="TETMAJER","SBK Tetmajer","SBK Euler")</f>
        <v>SBK Tetmajer</v>
      </c>
      <c r="J20" s="165">
        <v>6</v>
      </c>
      <c r="K20" s="683" t="s">
        <v>387</v>
      </c>
    </row>
    <row r="21" spans="2:11" ht="14.25" customHeight="1">
      <c r="B21" s="176" t="str">
        <f>IF(Info!H13&gt;2.5,"Edyn",IF(Info!H13&gt;1.5,"Edyn","Edin"))</f>
        <v>Edin</v>
      </c>
      <c r="C21" s="148"/>
      <c r="D21" s="177" t="s">
        <v>100</v>
      </c>
      <c r="E21" s="178">
        <v>210000</v>
      </c>
      <c r="G21" s="269" t="str">
        <f>0!B213</f>
        <v>İşletmede emniyet katsayısı</v>
      </c>
      <c r="H21" s="484"/>
      <c r="I21" s="484" t="s">
        <v>394</v>
      </c>
      <c r="J21" s="690">
        <f>J19/J16</f>
        <v>4.831747201493123</v>
      </c>
      <c r="K21" s="101"/>
    </row>
    <row r="22" spans="1:10" ht="14.25" customHeight="1">
      <c r="A22" s="118">
        <f>A15+1</f>
        <v>3</v>
      </c>
      <c r="B22" s="152" t="str">
        <f>0!B53</f>
        <v>Çap seçimi ve vida değerleri</v>
      </c>
      <c r="C22" s="71"/>
      <c r="E22" s="691"/>
      <c r="F22" s="118">
        <f>F17+1</f>
        <v>8</v>
      </c>
      <c r="G22" s="62" t="str">
        <f>0!B142</f>
        <v>Somun boyu</v>
      </c>
      <c r="J22" s="692"/>
    </row>
    <row r="23" spans="1:15" ht="14.25" customHeight="1">
      <c r="A23" s="101"/>
      <c r="B23" s="158" t="str">
        <f>0!B214</f>
        <v>Önerilen iç çap</v>
      </c>
      <c r="C23" s="159"/>
      <c r="D23" s="629" t="s">
        <v>395</v>
      </c>
      <c r="E23" s="469">
        <f>(64*E7*10^3*E8*E9^2/PI()^3/E21)^(1/4)</f>
        <v>44.52898164206978</v>
      </c>
      <c r="G23" s="413" t="str">
        <f>0!B114</f>
        <v>Sınır yüzey basıncı</v>
      </c>
      <c r="H23" s="470"/>
      <c r="I23" s="470" t="s">
        <v>396</v>
      </c>
      <c r="J23" s="693">
        <v>10</v>
      </c>
      <c r="K23" s="683" t="s">
        <v>397</v>
      </c>
      <c r="L23" s="101"/>
      <c r="N23" s="101"/>
      <c r="O23" s="101"/>
    </row>
    <row r="24" spans="2:15" ht="14.25" customHeight="1">
      <c r="B24" s="601">
        <f>IF(E12&gt;0.01,IF(Info!$H$13&gt;2.5,"Proposition for minor diameter",IF(Info!$H$13&gt;1.5,"Vorschlag für Kerndurchmesser","Önerilen iç çap")),"")</f>
      </c>
      <c r="C24" s="201"/>
      <c r="D24" s="476">
        <f>IF(E12&gt;0.01,"P","")</f>
      </c>
      <c r="E24" s="694">
        <f>IF(E12&gt;0.01,E12*10^3/E13,"")</f>
      </c>
      <c r="G24" s="677" t="str">
        <f>0!B142</f>
        <v>Somun boyu</v>
      </c>
      <c r="H24" s="678"/>
      <c r="I24" s="695" t="str">
        <f>0!B58</f>
        <v>Hesaplanan</v>
      </c>
      <c r="J24" s="694">
        <f>10^3*J7*E27/(J23*E28*PI()*E30)+2*E27</f>
        <v>90.89514617161886</v>
      </c>
      <c r="K24" s="101"/>
      <c r="L24" s="101"/>
      <c r="M24" s="101"/>
      <c r="N24" s="101"/>
      <c r="O24" s="101"/>
    </row>
    <row r="25" spans="2:15" ht="14.25" customHeight="1">
      <c r="B25" s="183" t="str">
        <f>0!B63</f>
        <v>Vidanın tanımı</v>
      </c>
      <c r="C25" s="476"/>
      <c r="D25" s="570" t="s">
        <v>398</v>
      </c>
      <c r="E25" s="696" t="s">
        <v>399</v>
      </c>
      <c r="G25" s="129"/>
      <c r="H25" s="130"/>
      <c r="I25" s="695" t="str">
        <f>0!B41</f>
        <v>Alınan</v>
      </c>
      <c r="J25" s="676">
        <v>70</v>
      </c>
      <c r="K25" s="101"/>
      <c r="L25" s="101"/>
      <c r="M25" s="101"/>
      <c r="N25" s="101"/>
      <c r="O25" s="101"/>
    </row>
    <row r="26" spans="2:15" ht="14.25" customHeight="1">
      <c r="B26" s="183" t="str">
        <f>0!B152</f>
        <v>Anma çapı</v>
      </c>
      <c r="C26" s="476"/>
      <c r="D26" s="476" t="s">
        <v>107</v>
      </c>
      <c r="E26" s="676">
        <v>48</v>
      </c>
      <c r="G26" s="269" t="str">
        <f>0!B98</f>
        <v>Yanaklarda bası gerilimi</v>
      </c>
      <c r="H26" s="484"/>
      <c r="I26" s="484"/>
      <c r="J26" s="685">
        <f>J7*10^3*E27/(PI()*E28*E30*(J25-2*E27))</f>
        <v>13.869471513262756</v>
      </c>
      <c r="K26" s="101"/>
      <c r="L26" s="101"/>
      <c r="M26" s="101"/>
      <c r="N26" s="101"/>
      <c r="O26" s="101"/>
    </row>
    <row r="27" spans="2:15" ht="14.25" customHeight="1">
      <c r="B27" s="183" t="str">
        <f>0!B200</f>
        <v>Adım veya hatve</v>
      </c>
      <c r="C27" s="476"/>
      <c r="D27" s="476" t="s">
        <v>109</v>
      </c>
      <c r="E27" s="676">
        <v>8</v>
      </c>
      <c r="F27" s="118">
        <f>F22+1</f>
        <v>9</v>
      </c>
      <c r="G27" s="62" t="str">
        <f>0!B224</f>
        <v>Verim</v>
      </c>
      <c r="J27" s="101"/>
      <c r="K27" s="101"/>
      <c r="L27" s="101"/>
      <c r="M27" s="101"/>
      <c r="N27" s="101"/>
      <c r="O27" s="101"/>
    </row>
    <row r="28" spans="2:15" ht="14.25" customHeight="1">
      <c r="B28" s="183" t="str">
        <f>0!B94</f>
        <v>Bölüm dairesi çapı</v>
      </c>
      <c r="C28" s="476"/>
      <c r="D28" s="634" t="s">
        <v>400</v>
      </c>
      <c r="E28" s="306">
        <v>44</v>
      </c>
      <c r="G28" s="697" t="str">
        <f>G27</f>
        <v>Verim</v>
      </c>
      <c r="H28" s="698"/>
      <c r="I28" s="699" t="s">
        <v>401</v>
      </c>
      <c r="J28" s="700">
        <f>TAN(E34*PI()/180)/TAN((E34+E36)*PI()/180)</f>
        <v>0.3644639867406209</v>
      </c>
      <c r="K28" s="101"/>
      <c r="L28" s="101"/>
      <c r="M28" s="101"/>
      <c r="N28" s="101"/>
      <c r="O28" s="101"/>
    </row>
    <row r="29" spans="2:15" ht="14.25" customHeight="1">
      <c r="B29" s="183" t="str">
        <f>0!B117</f>
        <v>Diş dibi çapı</v>
      </c>
      <c r="C29" s="476"/>
      <c r="D29" s="634" t="s">
        <v>395</v>
      </c>
      <c r="E29" s="676">
        <v>39</v>
      </c>
      <c r="F29" s="118">
        <f>F27+1</f>
        <v>10</v>
      </c>
      <c r="G29" s="63" t="str">
        <f>0!B86</f>
        <v>Sonuçlar</v>
      </c>
      <c r="H29" s="71"/>
      <c r="I29" s="71"/>
      <c r="K29" s="101"/>
      <c r="L29" s="101"/>
      <c r="M29" s="101"/>
      <c r="N29" s="101"/>
      <c r="O29" s="101"/>
    </row>
    <row r="30" spans="2:15" ht="14.25" customHeight="1">
      <c r="B30" s="183" t="str">
        <f>0!B97</f>
        <v>Temas boyu</v>
      </c>
      <c r="C30" s="476"/>
      <c r="D30" s="634" t="s">
        <v>402</v>
      </c>
      <c r="E30" s="207">
        <v>4</v>
      </c>
      <c r="F30" s="101"/>
      <c r="G30" s="532" t="s">
        <v>403</v>
      </c>
      <c r="H30" s="701"/>
      <c r="I30" s="533">
        <f>E36/E34</f>
        <v>1.724071729777788</v>
      </c>
      <c r="J30" s="63" t="str">
        <f>IF(I30&lt;1,0!B254,0!B253)</f>
        <v>  Yeterli</v>
      </c>
      <c r="K30" s="101"/>
      <c r="L30" s="101"/>
      <c r="M30" s="101"/>
      <c r="N30" s="101"/>
      <c r="O30" s="101"/>
    </row>
    <row r="31" spans="1:15" ht="14.25" customHeight="1">
      <c r="A31" s="101"/>
      <c r="B31" s="183" t="str">
        <f>0!B99</f>
        <v>Uç açısı</v>
      </c>
      <c r="C31" s="476"/>
      <c r="D31" s="528" t="s">
        <v>404</v>
      </c>
      <c r="E31" s="702">
        <v>30</v>
      </c>
      <c r="F31" s="101"/>
      <c r="G31" s="543" t="s">
        <v>405</v>
      </c>
      <c r="H31" s="703"/>
      <c r="I31" s="544">
        <f>E20/J16</f>
        <v>2.990303483962575</v>
      </c>
      <c r="J31" s="63" t="str">
        <f>IF(I31&lt;1,0!B254,0!B253)</f>
        <v>  Yeterli</v>
      </c>
      <c r="K31" s="101"/>
      <c r="L31" s="101"/>
      <c r="M31" s="101"/>
      <c r="N31" s="101"/>
      <c r="O31" s="101"/>
    </row>
    <row r="32" spans="2:15" ht="14.25" customHeight="1">
      <c r="B32" s="200" t="str">
        <f>0!B118</f>
        <v>Dişdibi alanı</v>
      </c>
      <c r="C32" s="201"/>
      <c r="D32" s="704" t="s">
        <v>139</v>
      </c>
      <c r="E32" s="222">
        <f>PI()*E29^2/4</f>
        <v>1194.5906065275187</v>
      </c>
      <c r="F32" s="101"/>
      <c r="G32" s="543" t="s">
        <v>406</v>
      </c>
      <c r="H32" s="703"/>
      <c r="I32" s="544">
        <f>J21/J20</f>
        <v>0.8052912002488538</v>
      </c>
      <c r="J32" s="63" t="str">
        <f>IF(I32&lt;1,0!B254,0!B253)</f>
        <v>  Yetersiz!</v>
      </c>
      <c r="K32" s="101"/>
      <c r="L32" s="101"/>
      <c r="M32" s="101"/>
      <c r="N32" s="101"/>
      <c r="O32" s="101"/>
    </row>
    <row r="33" spans="2:15" ht="14.25" customHeight="1">
      <c r="B33" s="183" t="str">
        <f>0!B223</f>
        <v>Tor. Karşıkoyma Momenti</v>
      </c>
      <c r="C33" s="476"/>
      <c r="D33" s="704" t="s">
        <v>407</v>
      </c>
      <c r="E33" s="318">
        <f>PI()*E29^3/16</f>
        <v>11647.258413643309</v>
      </c>
      <c r="F33" s="101"/>
      <c r="G33" s="536" t="s">
        <v>408</v>
      </c>
      <c r="H33" s="705"/>
      <c r="I33" s="537">
        <f>J23/J26</f>
        <v>0.7210080059962953</v>
      </c>
      <c r="J33" s="63" t="str">
        <f>IF(I33&lt;1,0!B254,0!B253)</f>
        <v>  Yetersiz!</v>
      </c>
      <c r="K33" s="101"/>
      <c r="L33" s="101"/>
      <c r="M33" s="101"/>
      <c r="N33" s="101"/>
      <c r="O33" s="101"/>
    </row>
    <row r="34" spans="2:15" ht="14.25" customHeight="1">
      <c r="B34" s="147" t="str">
        <f>0!B201</f>
        <v>Helis açısı</v>
      </c>
      <c r="C34" s="148"/>
      <c r="D34" s="706" t="s">
        <v>130</v>
      </c>
      <c r="E34" s="707">
        <f>180*(ATAN(E27/PI()/E28))/PI()</f>
        <v>3.312271200129051</v>
      </c>
      <c r="K34" s="101"/>
      <c r="L34" s="101"/>
      <c r="M34" s="101"/>
      <c r="N34" s="101"/>
      <c r="O34" s="101"/>
    </row>
    <row r="35" spans="1:15" ht="14.25" customHeight="1">
      <c r="A35" s="118">
        <f>A22+1</f>
        <v>4</v>
      </c>
      <c r="B35" s="62" t="str">
        <f>0!B163</f>
        <v>Sürtünme katsayıları ve açıları :</v>
      </c>
      <c r="D35" s="119" t="s">
        <v>409</v>
      </c>
      <c r="E35" s="692"/>
      <c r="G35" s="764" t="str">
        <f>IF(MIN(I30:I33)&lt;0.999,0!B251,0!B250)</f>
        <v> Birden küçük, yani yetersiz sonuçlar var. Buna rağmen kosntruksiyonu yapmak ister misiniz?</v>
      </c>
      <c r="H35" s="764"/>
      <c r="I35" s="764"/>
      <c r="J35" s="764"/>
      <c r="K35" s="101"/>
      <c r="L35" s="101"/>
      <c r="M35" s="101"/>
      <c r="N35" s="101"/>
      <c r="O35" s="101"/>
    </row>
    <row r="36" spans="2:15" ht="14.25" customHeight="1">
      <c r="B36" s="553" t="str">
        <f>0!B108</f>
        <v>Vida</v>
      </c>
      <c r="C36" s="554" t="s">
        <v>410</v>
      </c>
      <c r="D36" s="708">
        <v>0.1</v>
      </c>
      <c r="E36" s="169">
        <f>180*(ATAN(D36))/PI()</f>
        <v>5.710593137499643</v>
      </c>
      <c r="G36" s="764"/>
      <c r="H36" s="764"/>
      <c r="I36" s="764"/>
      <c r="J36" s="764"/>
      <c r="K36" s="101"/>
      <c r="L36" s="101"/>
      <c r="M36" s="101"/>
      <c r="N36" s="101"/>
      <c r="O36" s="101"/>
    </row>
    <row r="37" spans="2:15" ht="14.25" customHeight="1">
      <c r="B37" s="147" t="str">
        <f>0!B139</f>
        <v>Yatak</v>
      </c>
      <c r="C37" s="556" t="s">
        <v>411</v>
      </c>
      <c r="D37" s="709">
        <v>0.1</v>
      </c>
      <c r="E37" s="175">
        <f>180*(ATAN(D37))/PI()</f>
        <v>5.710593137499643</v>
      </c>
      <c r="G37" s="764"/>
      <c r="H37" s="764"/>
      <c r="I37" s="764"/>
      <c r="J37" s="764"/>
      <c r="K37" s="101"/>
      <c r="L37" s="101"/>
      <c r="M37" s="101"/>
      <c r="N37" s="101"/>
      <c r="O37" s="101"/>
    </row>
    <row r="38" spans="11:15" ht="14.25" customHeight="1">
      <c r="K38" s="101"/>
      <c r="L38" s="101"/>
      <c r="M38" s="101"/>
      <c r="N38" s="101"/>
      <c r="O38" s="101"/>
    </row>
    <row r="39" spans="2:15" ht="14.25" customHeight="1">
      <c r="B39" s="115" t="str">
        <f>0!B56</f>
        <v>Düşünceler :</v>
      </c>
      <c r="C39" s="789"/>
      <c r="D39" s="789"/>
      <c r="E39" s="789"/>
      <c r="F39" s="789"/>
      <c r="G39" s="789"/>
      <c r="H39" s="789"/>
      <c r="I39" s="789"/>
      <c r="J39" s="789"/>
      <c r="K39" s="789"/>
      <c r="L39" s="101"/>
      <c r="M39" s="101"/>
      <c r="N39" s="101"/>
      <c r="O39" s="101"/>
    </row>
    <row r="40" spans="3:15" ht="14.25" customHeight="1">
      <c r="C40" s="789"/>
      <c r="D40" s="789"/>
      <c r="E40" s="789"/>
      <c r="F40" s="789"/>
      <c r="G40" s="789"/>
      <c r="H40" s="789"/>
      <c r="I40" s="789"/>
      <c r="J40" s="789"/>
      <c r="K40" s="789"/>
      <c r="L40" s="101"/>
      <c r="M40" s="101"/>
      <c r="N40" s="101"/>
      <c r="O40" s="101"/>
    </row>
    <row r="41" spans="2:12" ht="21.75" customHeight="1">
      <c r="B41" s="275" t="s">
        <v>163</v>
      </c>
      <c r="C41" s="710" t="s">
        <v>165</v>
      </c>
      <c r="D41" s="711"/>
      <c r="E41" s="711"/>
      <c r="F41" s="682" t="s">
        <v>164</v>
      </c>
      <c r="G41" s="712" t="s">
        <v>412</v>
      </c>
      <c r="H41" s="280"/>
      <c r="I41" s="281"/>
      <c r="J41" s="281"/>
      <c r="K41" s="281"/>
      <c r="L41" s="281"/>
    </row>
    <row r="42" ht="14.25" customHeight="1"/>
    <row r="43" ht="14.25" customHeight="1"/>
    <row r="44" ht="14.25" customHeight="1"/>
    <row r="45" ht="14.25" customHeight="1"/>
    <row r="46" ht="14.25" customHeight="1"/>
    <row r="47" spans="1:19" ht="14.25" customHeight="1">
      <c r="A47" s="101"/>
      <c r="B47" s="101"/>
      <c r="C47" s="101"/>
      <c r="D47" s="101"/>
      <c r="E47" s="101"/>
      <c r="F47" s="101"/>
      <c r="G47" s="101"/>
      <c r="H47" s="101"/>
      <c r="I47" s="101"/>
      <c r="J47" s="101"/>
      <c r="K47" s="101"/>
      <c r="L47" s="101"/>
      <c r="M47" s="101"/>
      <c r="N47" s="101"/>
      <c r="O47" s="101"/>
      <c r="P47" s="101"/>
      <c r="Q47" s="71"/>
      <c r="R47" s="71"/>
      <c r="S47" s="71"/>
    </row>
    <row r="48" spans="1:19" ht="14.25" customHeight="1">
      <c r="A48" s="101"/>
      <c r="B48" s="101"/>
      <c r="C48" s="101"/>
      <c r="D48" s="101"/>
      <c r="E48" s="101"/>
      <c r="F48" s="101"/>
      <c r="G48" s="101"/>
      <c r="H48" s="101"/>
      <c r="I48" s="101"/>
      <c r="J48" s="101"/>
      <c r="K48" s="101"/>
      <c r="L48" s="101"/>
      <c r="M48" s="101"/>
      <c r="N48" s="101"/>
      <c r="O48" s="101"/>
      <c r="P48" s="101"/>
      <c r="Q48" s="101"/>
      <c r="R48" s="101"/>
      <c r="S48" s="71"/>
    </row>
    <row r="49" spans="1:16" ht="14.25" customHeight="1">
      <c r="A49" s="101"/>
      <c r="B49" s="101"/>
      <c r="C49" s="101"/>
      <c r="D49" s="101"/>
      <c r="E49" s="101"/>
      <c r="F49" s="101"/>
      <c r="G49" s="101"/>
      <c r="H49" s="101"/>
      <c r="I49" s="101"/>
      <c r="J49" s="101"/>
      <c r="K49" s="101"/>
      <c r="L49" s="101"/>
      <c r="M49" s="101"/>
      <c r="N49" s="101"/>
      <c r="O49" s="101"/>
      <c r="P49" s="101"/>
    </row>
    <row r="50" spans="1:16" ht="14.25" customHeight="1">
      <c r="A50" s="101"/>
      <c r="B50" s="101"/>
      <c r="C50" s="101"/>
      <c r="D50" s="101"/>
      <c r="E50" s="101"/>
      <c r="F50" s="101"/>
      <c r="G50" s="101"/>
      <c r="H50" s="101"/>
      <c r="I50" s="101"/>
      <c r="J50" s="101"/>
      <c r="K50" s="101"/>
      <c r="L50" s="101"/>
      <c r="M50" s="101"/>
      <c r="N50" s="101"/>
      <c r="O50" s="101"/>
      <c r="P50" s="101"/>
    </row>
    <row r="51" spans="1:16" ht="14.25" customHeight="1">
      <c r="A51" s="101"/>
      <c r="B51" s="101"/>
      <c r="C51" s="101"/>
      <c r="D51" s="101"/>
      <c r="E51" s="101"/>
      <c r="F51" s="101"/>
      <c r="G51" s="101"/>
      <c r="H51" s="101"/>
      <c r="I51" s="101"/>
      <c r="J51" s="101"/>
      <c r="K51" s="101"/>
      <c r="L51" s="101"/>
      <c r="M51" s="101"/>
      <c r="N51" s="101"/>
      <c r="O51" s="101"/>
      <c r="P51" s="101"/>
    </row>
    <row r="52" spans="9:16" ht="14.25" customHeight="1">
      <c r="I52" s="101"/>
      <c r="J52" s="101"/>
      <c r="K52" s="101"/>
      <c r="L52" s="101"/>
      <c r="M52" s="101"/>
      <c r="N52" s="101"/>
      <c r="O52" s="101"/>
      <c r="P52" s="101"/>
    </row>
    <row r="53" spans="10:16" ht="14.25" customHeight="1">
      <c r="J53" s="68"/>
      <c r="K53" s="68"/>
      <c r="L53" s="68"/>
      <c r="O53" s="101"/>
      <c r="P53" s="289"/>
    </row>
    <row r="54" spans="10:15" ht="14.25" customHeight="1">
      <c r="J54" s="68"/>
      <c r="K54" s="68"/>
      <c r="L54" s="68"/>
      <c r="O54" s="101"/>
    </row>
    <row r="55" spans="10:15" ht="14.25" customHeight="1" hidden="1">
      <c r="J55" s="68"/>
      <c r="K55" s="68"/>
      <c r="L55" s="68"/>
      <c r="O55" s="101"/>
    </row>
    <row r="56" spans="7:16" ht="14.25" customHeight="1" hidden="1">
      <c r="G56" s="287"/>
      <c r="H56" s="287"/>
      <c r="I56" s="287"/>
      <c r="J56" s="287"/>
      <c r="K56" s="287"/>
      <c r="L56" s="287"/>
      <c r="O56" s="101"/>
      <c r="P56" s="289"/>
    </row>
    <row r="57" spans="7:12" ht="14.25" customHeight="1" hidden="1">
      <c r="G57" s="287"/>
      <c r="H57" s="287"/>
      <c r="I57" s="287"/>
      <c r="J57" s="232" t="s">
        <v>413</v>
      </c>
      <c r="K57" s="232" t="s">
        <v>414</v>
      </c>
      <c r="L57" s="232"/>
    </row>
    <row r="58" spans="4:12" ht="14.25" customHeight="1" hidden="1">
      <c r="D58" s="67">
        <v>1</v>
      </c>
      <c r="G58" s="232" t="str">
        <f>IF(J18&gt;105,"EULER","TETMAJER")</f>
        <v>TETMAJER</v>
      </c>
      <c r="H58" s="713">
        <f>IF(J18&gt;105,J58,K58)</f>
        <v>246.4102564102564</v>
      </c>
      <c r="I58" s="287" t="s">
        <v>391</v>
      </c>
      <c r="J58" s="714">
        <f>PI()^2*E21/J18^2</f>
        <v>197.02814635949696</v>
      </c>
      <c r="K58" s="714">
        <f>310-0.62*J18</f>
        <v>246.4102564102564</v>
      </c>
      <c r="L58" s="715" t="s">
        <v>415</v>
      </c>
    </row>
    <row r="59" spans="4:12" ht="14.25" customHeight="1" hidden="1">
      <c r="D59" s="67">
        <v>0.7</v>
      </c>
      <c r="G59" s="232" t="str">
        <f>IF(J18&gt;89,"EULER","TETMAJER")</f>
        <v>EULER</v>
      </c>
      <c r="H59" s="713">
        <f>IF(J18&gt;89,J59,K59)</f>
        <v>197.02814635949696</v>
      </c>
      <c r="I59" s="287" t="s">
        <v>416</v>
      </c>
      <c r="J59" s="714">
        <f>PI()^2*E21/J18^2</f>
        <v>197.02814635949696</v>
      </c>
      <c r="K59" s="714">
        <f>335-0.62*J18</f>
        <v>271.4102564102564</v>
      </c>
      <c r="L59" s="715" t="s">
        <v>417</v>
      </c>
    </row>
    <row r="60" spans="7:12" ht="14.25" customHeight="1" hidden="1">
      <c r="G60" s="232"/>
      <c r="H60" s="232"/>
      <c r="I60" s="232"/>
      <c r="J60" s="232"/>
      <c r="K60" s="232"/>
      <c r="L60" s="232"/>
    </row>
    <row r="61" spans="7:12" ht="14.25" customHeight="1" hidden="1">
      <c r="G61" s="287"/>
      <c r="H61" s="287"/>
      <c r="I61" s="287"/>
      <c r="J61" s="287"/>
      <c r="K61" s="287"/>
      <c r="L61" s="287"/>
    </row>
    <row r="62" ht="14.25" customHeight="1" hidden="1"/>
    <row r="63" ht="14.25" customHeight="1" hidden="1"/>
    <row r="64" ht="12.75" hidden="1"/>
    <row r="70" ht="12.75">
      <c r="L70" s="68"/>
    </row>
  </sheetData>
  <sheetProtection password="EF77" sheet="1" objects="1" scenarios="1"/>
  <mergeCells count="5">
    <mergeCell ref="C40:K40"/>
    <mergeCell ref="C4:G4"/>
    <mergeCell ref="D15:E15"/>
    <mergeCell ref="G35:J37"/>
    <mergeCell ref="C39:K39"/>
  </mergeCells>
  <dataValidations count="2">
    <dataValidation type="list" allowBlank="1" showErrorMessage="1" sqref="E16">
      <formula1>$I$58:$I$59</formula1>
      <formula2>0</formula2>
    </dataValidation>
    <dataValidation type="list" allowBlank="1" showErrorMessage="1" sqref="J15">
      <formula1>$D$58:$D$59</formula1>
      <formula2>0</formula2>
    </dataValidation>
  </dataValidations>
  <printOptions horizontalCentered="1" verticalCentered="1"/>
  <pageMargins left="0.39375" right="0.39375" top="0.7875" bottom="0.7875" header="0.5118055555555555" footer="0.5118055555555555"/>
  <pageSetup horizontalDpi="300" verticalDpi="300" orientation="landscape" paperSize="9" scale="79"/>
  <headerFooter alignWithMargins="0">
    <oddFooter>&amp;L&amp;D / &amp;F / &amp;A&amp;R&amp;P von &amp;N</oddFooter>
  </headerFooter>
  <legacyDrawing r:id="rId2"/>
  <oleObjects>
    <oleObject progId="" shapeId="12051594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kutaym@bluewin.ch</cp:lastModifiedBy>
  <cp:lastPrinted>2022-10-14T14:22:19Z</cp:lastPrinted>
  <dcterms:modified xsi:type="dcterms:W3CDTF">2022-10-14T14:51:11Z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