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Override PartName="/xl/embeddings/oleObject_0_23.bin" ContentType="application/vnd.openxmlformats-officedocument.oleObject"/>
  <Override PartName="/xl/embeddings/oleObject_0_24.bin" ContentType="application/vnd.openxmlformats-officedocument.oleObject"/>
  <Override PartName="/xl/embeddings/oleObject_0_25.bin" ContentType="application/vnd.openxmlformats-officedocument.oleObject"/>
  <Override PartName="/xl/embeddings/oleObject_0_26.bin" ContentType="application/vnd.openxmlformats-officedocument.oleObject"/>
  <Override PartName="/xl/embeddings/oleObject_0_27.bin" ContentType="application/vnd.openxmlformats-officedocument.oleObject"/>
  <Override PartName="/xl/embeddings/oleObject_0_28.bin" ContentType="application/vnd.openxmlformats-officedocument.oleObject"/>
  <Override PartName="/xl/embeddings/oleObject_0_29.bin" ContentType="application/vnd.openxmlformats-officedocument.oleObject"/>
  <Override PartName="/xl/embeddings/oleObject_0_30.bin" ContentType="application/vnd.openxmlformats-officedocument.oleObject"/>
  <Override PartName="/xl/embeddings/oleObject_0_3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480" windowHeight="7590" tabRatio="601" activeTab="0"/>
  </bookViews>
  <sheets>
    <sheet name="Info" sheetId="1" r:id="rId1"/>
    <sheet name="00"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s>
  <externalReferences>
    <externalReference r:id="rId16"/>
  </externalReferences>
  <definedNames>
    <definedName name="Re">#REF!</definedName>
    <definedName name="Rm">#REF!</definedName>
  </definedNames>
  <calcPr fullCalcOnLoad="1"/>
</workbook>
</file>

<file path=xl/sharedStrings.xml><?xml version="1.0" encoding="utf-8"?>
<sst xmlns="http://schemas.openxmlformats.org/spreadsheetml/2006/main" count="388" uniqueCount="125">
  <si>
    <t>TR</t>
  </si>
  <si>
    <t>DE</t>
  </si>
  <si>
    <t>EN</t>
  </si>
  <si>
    <t>mm</t>
  </si>
  <si>
    <t>01</t>
  </si>
  <si>
    <t>02</t>
  </si>
  <si>
    <t>03</t>
  </si>
  <si>
    <t>04</t>
  </si>
  <si>
    <t>05</t>
  </si>
  <si>
    <r>
      <t>e</t>
    </r>
    <r>
      <rPr>
        <vertAlign val="subscript"/>
        <sz val="14"/>
        <rFont val="Times New Roman"/>
        <family val="1"/>
      </rPr>
      <t>x</t>
    </r>
    <r>
      <rPr>
        <b/>
        <vertAlign val="subscript"/>
        <sz val="14"/>
        <rFont val="Times New Roman"/>
        <family val="1"/>
      </rPr>
      <t xml:space="preserve"> </t>
    </r>
    <r>
      <rPr>
        <sz val="14"/>
        <rFont val="Times New Roman"/>
        <family val="1"/>
      </rPr>
      <t>=</t>
    </r>
  </si>
  <si>
    <r>
      <t>e</t>
    </r>
    <r>
      <rPr>
        <vertAlign val="subscript"/>
        <sz val="14"/>
        <rFont val="Times New Roman"/>
        <family val="1"/>
      </rPr>
      <t>y</t>
    </r>
    <r>
      <rPr>
        <sz val="14"/>
        <rFont val="Times New Roman"/>
        <family val="1"/>
      </rPr>
      <t xml:space="preserve"> =</t>
    </r>
  </si>
  <si>
    <r>
      <t>e</t>
    </r>
    <r>
      <rPr>
        <vertAlign val="subscript"/>
        <sz val="14"/>
        <rFont val="Times New Roman"/>
        <family val="1"/>
      </rPr>
      <t>1</t>
    </r>
    <r>
      <rPr>
        <b/>
        <vertAlign val="subscript"/>
        <sz val="14"/>
        <rFont val="Times New Roman"/>
        <family val="1"/>
      </rPr>
      <t xml:space="preserve"> </t>
    </r>
    <r>
      <rPr>
        <sz val="14"/>
        <rFont val="Times New Roman"/>
        <family val="1"/>
      </rPr>
      <t>=</t>
    </r>
  </si>
  <si>
    <r>
      <t>e</t>
    </r>
    <r>
      <rPr>
        <vertAlign val="subscript"/>
        <sz val="14"/>
        <rFont val="Times New Roman"/>
        <family val="1"/>
      </rPr>
      <t>2</t>
    </r>
    <r>
      <rPr>
        <b/>
        <vertAlign val="subscript"/>
        <sz val="14"/>
        <rFont val="Times New Roman"/>
        <family val="1"/>
      </rPr>
      <t xml:space="preserve"> </t>
    </r>
    <r>
      <rPr>
        <sz val="14"/>
        <rFont val="Times New Roman"/>
        <family val="1"/>
      </rPr>
      <t>=</t>
    </r>
  </si>
  <si>
    <r>
      <t>e</t>
    </r>
    <r>
      <rPr>
        <vertAlign val="subscript"/>
        <sz val="14"/>
        <rFont val="Times New Roman"/>
        <family val="1"/>
      </rPr>
      <t>k1</t>
    </r>
    <r>
      <rPr>
        <b/>
        <vertAlign val="subscript"/>
        <sz val="14"/>
        <rFont val="Times New Roman"/>
        <family val="1"/>
      </rPr>
      <t xml:space="preserve"> </t>
    </r>
    <r>
      <rPr>
        <sz val="14"/>
        <rFont val="Times New Roman"/>
        <family val="1"/>
      </rPr>
      <t>=</t>
    </r>
  </si>
  <si>
    <r>
      <t>e</t>
    </r>
    <r>
      <rPr>
        <vertAlign val="subscript"/>
        <sz val="14"/>
        <rFont val="Times New Roman"/>
        <family val="1"/>
      </rPr>
      <t>k2</t>
    </r>
    <r>
      <rPr>
        <b/>
        <vertAlign val="subscript"/>
        <sz val="14"/>
        <rFont val="Times New Roman"/>
        <family val="1"/>
      </rPr>
      <t xml:space="preserve"> </t>
    </r>
    <r>
      <rPr>
        <sz val="14"/>
        <rFont val="Times New Roman"/>
        <family val="1"/>
      </rPr>
      <t>=</t>
    </r>
  </si>
  <si>
    <r>
      <t>W</t>
    </r>
    <r>
      <rPr>
        <vertAlign val="subscript"/>
        <sz val="14"/>
        <rFont val="Times New Roman"/>
        <family val="1"/>
      </rPr>
      <t>k1</t>
    </r>
    <r>
      <rPr>
        <sz val="14"/>
        <rFont val="Times New Roman"/>
        <family val="1"/>
      </rPr>
      <t xml:space="preserve"> =</t>
    </r>
  </si>
  <si>
    <r>
      <t>W</t>
    </r>
    <r>
      <rPr>
        <vertAlign val="subscript"/>
        <sz val="14"/>
        <rFont val="Times New Roman"/>
        <family val="1"/>
      </rPr>
      <t>k2</t>
    </r>
    <r>
      <rPr>
        <sz val="14"/>
        <rFont val="Times New Roman"/>
        <family val="1"/>
      </rPr>
      <t xml:space="preserve"> =</t>
    </r>
  </si>
  <si>
    <r>
      <t>e</t>
    </r>
    <r>
      <rPr>
        <vertAlign val="subscript"/>
        <sz val="14"/>
        <rFont val="Times New Roman"/>
        <family val="1"/>
      </rPr>
      <t>3</t>
    </r>
    <r>
      <rPr>
        <b/>
        <vertAlign val="subscript"/>
        <sz val="14"/>
        <rFont val="Times New Roman"/>
        <family val="1"/>
      </rPr>
      <t xml:space="preserve"> </t>
    </r>
    <r>
      <rPr>
        <sz val="14"/>
        <rFont val="Times New Roman"/>
        <family val="1"/>
      </rPr>
      <t>=</t>
    </r>
  </si>
  <si>
    <t>°</t>
  </si>
  <si>
    <r>
      <t>b</t>
    </r>
    <r>
      <rPr>
        <b/>
        <vertAlign val="subscript"/>
        <sz val="14"/>
        <rFont val="Times New Roman"/>
        <family val="1"/>
      </rPr>
      <t xml:space="preserve"> </t>
    </r>
    <r>
      <rPr>
        <sz val="14"/>
        <rFont val="Times New Roman"/>
        <family val="1"/>
      </rPr>
      <t>=</t>
    </r>
  </si>
  <si>
    <r>
      <t>s</t>
    </r>
    <r>
      <rPr>
        <sz val="14"/>
        <rFont val="Times New Roman"/>
        <family val="1"/>
      </rPr>
      <t xml:space="preserve"> =</t>
    </r>
  </si>
  <si>
    <r>
      <t>e</t>
    </r>
    <r>
      <rPr>
        <vertAlign val="subscript"/>
        <sz val="14"/>
        <rFont val="Times New Roman"/>
        <family val="1"/>
      </rPr>
      <t>y</t>
    </r>
    <r>
      <rPr>
        <b/>
        <vertAlign val="subscript"/>
        <sz val="14"/>
        <rFont val="Times New Roman"/>
        <family val="1"/>
      </rPr>
      <t xml:space="preserve"> </t>
    </r>
    <r>
      <rPr>
        <sz val="14"/>
        <rFont val="Times New Roman"/>
        <family val="1"/>
      </rPr>
      <t>=</t>
    </r>
  </si>
  <si>
    <t>06</t>
  </si>
  <si>
    <t>07</t>
  </si>
  <si>
    <r>
      <t>h</t>
    </r>
    <r>
      <rPr>
        <b/>
        <vertAlign val="subscript"/>
        <sz val="14"/>
        <rFont val="Times New Roman"/>
        <family val="1"/>
      </rPr>
      <t xml:space="preserve"> </t>
    </r>
    <r>
      <rPr>
        <sz val="14"/>
        <rFont val="Times New Roman"/>
        <family val="1"/>
      </rPr>
      <t>=</t>
    </r>
  </si>
  <si>
    <r>
      <t>e</t>
    </r>
    <r>
      <rPr>
        <vertAlign val="subscript"/>
        <sz val="14"/>
        <rFont val="Times New Roman"/>
        <family val="1"/>
      </rPr>
      <t>m</t>
    </r>
    <r>
      <rPr>
        <b/>
        <vertAlign val="subscript"/>
        <sz val="14"/>
        <rFont val="Times New Roman"/>
        <family val="1"/>
      </rPr>
      <t xml:space="preserve"> </t>
    </r>
    <r>
      <rPr>
        <sz val="14"/>
        <rFont val="Times New Roman"/>
        <family val="1"/>
      </rPr>
      <t>=</t>
    </r>
  </si>
  <si>
    <r>
      <t>W</t>
    </r>
    <r>
      <rPr>
        <vertAlign val="subscript"/>
        <sz val="14"/>
        <rFont val="Times New Roman"/>
        <family val="1"/>
      </rPr>
      <t>x</t>
    </r>
    <r>
      <rPr>
        <sz val="14"/>
        <rFont val="Times New Roman"/>
        <family val="1"/>
      </rPr>
      <t xml:space="preserve"> =</t>
    </r>
  </si>
  <si>
    <t>08</t>
  </si>
  <si>
    <t>09</t>
  </si>
  <si>
    <r>
      <t>e</t>
    </r>
    <r>
      <rPr>
        <vertAlign val="subscript"/>
        <sz val="14"/>
        <rFont val="Times New Roman"/>
        <family val="1"/>
      </rPr>
      <t>x,y</t>
    </r>
    <r>
      <rPr>
        <b/>
        <vertAlign val="subscript"/>
        <sz val="14"/>
        <rFont val="Times New Roman"/>
        <family val="1"/>
      </rPr>
      <t xml:space="preserve"> </t>
    </r>
    <r>
      <rPr>
        <sz val="14"/>
        <rFont val="Times New Roman"/>
        <family val="1"/>
      </rPr>
      <t>=</t>
    </r>
  </si>
  <si>
    <t>cm</t>
  </si>
  <si>
    <r>
      <t>h</t>
    </r>
    <r>
      <rPr>
        <vertAlign val="subscript"/>
        <sz val="14"/>
        <rFont val="Times New Roman"/>
        <family val="1"/>
      </rPr>
      <t>b</t>
    </r>
    <r>
      <rPr>
        <b/>
        <vertAlign val="subscript"/>
        <sz val="14"/>
        <rFont val="Times New Roman"/>
        <family val="1"/>
      </rPr>
      <t xml:space="preserve"> </t>
    </r>
    <r>
      <rPr>
        <sz val="14"/>
        <rFont val="Times New Roman"/>
        <family val="1"/>
      </rPr>
      <t>=</t>
    </r>
  </si>
  <si>
    <r>
      <t>A</t>
    </r>
    <r>
      <rPr>
        <b/>
        <vertAlign val="subscript"/>
        <sz val="14"/>
        <rFont val="Times New Roman"/>
        <family val="1"/>
      </rPr>
      <t xml:space="preserve"> </t>
    </r>
    <r>
      <rPr>
        <sz val="14"/>
        <rFont val="Times New Roman"/>
        <family val="1"/>
      </rPr>
      <t>=</t>
    </r>
  </si>
  <si>
    <r>
      <t>mm</t>
    </r>
    <r>
      <rPr>
        <vertAlign val="superscript"/>
        <sz val="14"/>
        <rFont val="Times New Roman"/>
        <family val="1"/>
      </rPr>
      <t>3</t>
    </r>
  </si>
  <si>
    <r>
      <t>W</t>
    </r>
    <r>
      <rPr>
        <vertAlign val="subscript"/>
        <sz val="14"/>
        <rFont val="Times New Roman"/>
        <family val="1"/>
      </rPr>
      <t>y</t>
    </r>
    <r>
      <rPr>
        <sz val="14"/>
        <rFont val="Times New Roman"/>
        <family val="1"/>
      </rPr>
      <t xml:space="preserve"> =</t>
    </r>
  </si>
  <si>
    <r>
      <t>I</t>
    </r>
    <r>
      <rPr>
        <vertAlign val="subscript"/>
        <sz val="14"/>
        <rFont val="Times New Roman"/>
        <family val="1"/>
      </rPr>
      <t>x</t>
    </r>
    <r>
      <rPr>
        <sz val="14"/>
        <rFont val="Times New Roman"/>
        <family val="1"/>
      </rPr>
      <t xml:space="preserve"> =</t>
    </r>
  </si>
  <si>
    <r>
      <t>I</t>
    </r>
    <r>
      <rPr>
        <vertAlign val="subscript"/>
        <sz val="14"/>
        <rFont val="Times New Roman"/>
        <family val="1"/>
      </rPr>
      <t>y</t>
    </r>
    <r>
      <rPr>
        <sz val="14"/>
        <rFont val="Times New Roman"/>
        <family val="1"/>
      </rPr>
      <t xml:space="preserve"> =</t>
    </r>
  </si>
  <si>
    <r>
      <t>I</t>
    </r>
    <r>
      <rPr>
        <vertAlign val="subscript"/>
        <sz val="14"/>
        <rFont val="Times New Roman"/>
        <family val="1"/>
      </rPr>
      <t>u</t>
    </r>
    <r>
      <rPr>
        <sz val="14"/>
        <rFont val="Times New Roman"/>
        <family val="1"/>
      </rPr>
      <t xml:space="preserve"> =</t>
    </r>
  </si>
  <si>
    <r>
      <t>I</t>
    </r>
    <r>
      <rPr>
        <vertAlign val="subscript"/>
        <sz val="14"/>
        <rFont val="Times New Roman"/>
        <family val="1"/>
      </rPr>
      <t>z</t>
    </r>
    <r>
      <rPr>
        <sz val="14"/>
        <rFont val="Times New Roman"/>
        <family val="1"/>
      </rPr>
      <t xml:space="preserve"> =</t>
    </r>
  </si>
  <si>
    <r>
      <t>I</t>
    </r>
    <r>
      <rPr>
        <vertAlign val="subscript"/>
        <sz val="14"/>
        <rFont val="Times New Roman"/>
        <family val="1"/>
      </rPr>
      <t>x,</t>
    </r>
    <r>
      <rPr>
        <vertAlign val="subscript"/>
        <sz val="16"/>
        <rFont val="Times New Roman"/>
        <family val="1"/>
      </rPr>
      <t>y</t>
    </r>
    <r>
      <rPr>
        <sz val="14"/>
        <rFont val="Times New Roman"/>
        <family val="1"/>
      </rPr>
      <t xml:space="preserve"> =</t>
    </r>
  </si>
  <si>
    <r>
      <t>H</t>
    </r>
    <r>
      <rPr>
        <b/>
        <vertAlign val="subscript"/>
        <sz val="14"/>
        <rFont val="Times New Roman"/>
        <family val="1"/>
      </rPr>
      <t xml:space="preserve"> </t>
    </r>
    <r>
      <rPr>
        <sz val="14"/>
        <rFont val="Times New Roman"/>
        <family val="1"/>
      </rPr>
      <t>=</t>
    </r>
  </si>
  <si>
    <r>
      <t>I</t>
    </r>
    <r>
      <rPr>
        <vertAlign val="subscript"/>
        <sz val="14"/>
        <rFont val="Times New Roman"/>
        <family val="1"/>
      </rPr>
      <t>x</t>
    </r>
    <r>
      <rPr>
        <sz val="14"/>
        <rFont val="Times New Roman"/>
        <family val="1"/>
      </rPr>
      <t xml:space="preserve"> = I</t>
    </r>
    <r>
      <rPr>
        <vertAlign val="subscript"/>
        <sz val="14"/>
        <rFont val="Times New Roman"/>
        <family val="1"/>
      </rPr>
      <t>y</t>
    </r>
    <r>
      <rPr>
        <sz val="14"/>
        <rFont val="Times New Roman"/>
        <family val="1"/>
      </rPr>
      <t xml:space="preserve"> =</t>
    </r>
  </si>
  <si>
    <r>
      <t>I</t>
    </r>
    <r>
      <rPr>
        <vertAlign val="subscript"/>
        <sz val="14"/>
        <rFont val="Times New Roman"/>
        <family val="1"/>
      </rPr>
      <t>k1</t>
    </r>
    <r>
      <rPr>
        <sz val="14"/>
        <rFont val="Times New Roman"/>
        <family val="1"/>
      </rPr>
      <t xml:space="preserve"> = I</t>
    </r>
    <r>
      <rPr>
        <vertAlign val="subscript"/>
        <sz val="14"/>
        <rFont val="Times New Roman"/>
        <family val="1"/>
      </rPr>
      <t>k2</t>
    </r>
    <r>
      <rPr>
        <sz val="14"/>
        <rFont val="Times New Roman"/>
        <family val="1"/>
      </rPr>
      <t xml:space="preserve"> =</t>
    </r>
  </si>
  <si>
    <r>
      <t>d</t>
    </r>
    <r>
      <rPr>
        <b/>
        <vertAlign val="subscript"/>
        <sz val="14"/>
        <rFont val="Times New Roman"/>
        <family val="1"/>
      </rPr>
      <t xml:space="preserve"> </t>
    </r>
    <r>
      <rPr>
        <sz val="14"/>
        <rFont val="Times New Roman"/>
        <family val="1"/>
      </rPr>
      <t>=</t>
    </r>
  </si>
  <si>
    <r>
      <t>R</t>
    </r>
    <r>
      <rPr>
        <b/>
        <vertAlign val="subscript"/>
        <sz val="14"/>
        <rFont val="Times New Roman"/>
        <family val="1"/>
      </rPr>
      <t xml:space="preserve"> </t>
    </r>
    <r>
      <rPr>
        <sz val="14"/>
        <rFont val="Times New Roman"/>
        <family val="1"/>
      </rPr>
      <t>=</t>
    </r>
  </si>
  <si>
    <r>
      <t>s</t>
    </r>
    <r>
      <rPr>
        <b/>
        <vertAlign val="subscript"/>
        <sz val="14"/>
        <rFont val="Times New Roman"/>
        <family val="1"/>
      </rPr>
      <t xml:space="preserve"> </t>
    </r>
    <r>
      <rPr>
        <sz val="14"/>
        <rFont val="Times New Roman"/>
        <family val="1"/>
      </rPr>
      <t>=</t>
    </r>
  </si>
  <si>
    <r>
      <t>I</t>
    </r>
    <r>
      <rPr>
        <vertAlign val="subscript"/>
        <sz val="14"/>
        <rFont val="Times New Roman"/>
        <family val="1"/>
      </rPr>
      <t>x,</t>
    </r>
    <r>
      <rPr>
        <vertAlign val="subscript"/>
        <sz val="14"/>
        <rFont val="Times New Roman"/>
        <family val="1"/>
      </rPr>
      <t>y</t>
    </r>
    <r>
      <rPr>
        <sz val="14"/>
        <rFont val="Times New Roman"/>
        <family val="1"/>
      </rPr>
      <t xml:space="preserve"> =</t>
    </r>
  </si>
  <si>
    <r>
      <t>W</t>
    </r>
    <r>
      <rPr>
        <vertAlign val="subscript"/>
        <sz val="14"/>
        <rFont val="Times New Roman"/>
        <family val="1"/>
      </rPr>
      <t>x,</t>
    </r>
    <r>
      <rPr>
        <vertAlign val="subscript"/>
        <sz val="14"/>
        <rFont val="Times New Roman"/>
        <family val="1"/>
      </rPr>
      <t>y</t>
    </r>
    <r>
      <rPr>
        <sz val="14"/>
        <rFont val="Times New Roman"/>
        <family val="1"/>
      </rPr>
      <t xml:space="preserve"> =</t>
    </r>
  </si>
  <si>
    <r>
      <t>I</t>
    </r>
    <r>
      <rPr>
        <vertAlign val="subscript"/>
        <sz val="14"/>
        <rFont val="Times New Roman"/>
        <family val="1"/>
      </rPr>
      <t>k1,</t>
    </r>
    <r>
      <rPr>
        <vertAlign val="subscript"/>
        <sz val="14"/>
        <rFont val="Times New Roman"/>
        <family val="1"/>
      </rPr>
      <t>k2</t>
    </r>
    <r>
      <rPr>
        <sz val="14"/>
        <rFont val="Times New Roman"/>
        <family val="1"/>
      </rPr>
      <t xml:space="preserve"> =</t>
    </r>
  </si>
  <si>
    <r>
      <t>W</t>
    </r>
    <r>
      <rPr>
        <vertAlign val="subscript"/>
        <sz val="14"/>
        <rFont val="Times New Roman"/>
        <family val="1"/>
      </rPr>
      <t>k1,</t>
    </r>
    <r>
      <rPr>
        <vertAlign val="subscript"/>
        <sz val="14"/>
        <rFont val="Times New Roman"/>
        <family val="1"/>
      </rPr>
      <t>k2</t>
    </r>
    <r>
      <rPr>
        <sz val="14"/>
        <rFont val="Times New Roman"/>
        <family val="1"/>
      </rPr>
      <t xml:space="preserve"> =</t>
    </r>
  </si>
  <si>
    <r>
      <t>a</t>
    </r>
    <r>
      <rPr>
        <b/>
        <vertAlign val="subscript"/>
        <sz val="14"/>
        <rFont val="Times New Roman"/>
        <family val="1"/>
      </rPr>
      <t xml:space="preserve"> </t>
    </r>
    <r>
      <rPr>
        <sz val="14"/>
        <rFont val="Times New Roman"/>
        <family val="1"/>
      </rPr>
      <t>=</t>
    </r>
  </si>
  <si>
    <r>
      <t>D</t>
    </r>
    <r>
      <rPr>
        <b/>
        <vertAlign val="subscript"/>
        <sz val="14"/>
        <rFont val="Times New Roman"/>
        <family val="1"/>
      </rPr>
      <t xml:space="preserve"> </t>
    </r>
    <r>
      <rPr>
        <sz val="14"/>
        <rFont val="Times New Roman"/>
        <family val="1"/>
      </rPr>
      <t>=</t>
    </r>
  </si>
  <si>
    <r>
      <t>r</t>
    </r>
    <r>
      <rPr>
        <b/>
        <vertAlign val="subscript"/>
        <sz val="14"/>
        <rFont val="Times New Roman"/>
        <family val="1"/>
      </rPr>
      <t xml:space="preserve"> </t>
    </r>
    <r>
      <rPr>
        <sz val="14"/>
        <rFont val="Times New Roman"/>
        <family val="1"/>
      </rPr>
      <t>=</t>
    </r>
  </si>
  <si>
    <r>
      <t>I</t>
    </r>
    <r>
      <rPr>
        <vertAlign val="subscript"/>
        <sz val="14"/>
        <rFont val="Times New Roman"/>
        <family val="1"/>
      </rPr>
      <t>1</t>
    </r>
    <r>
      <rPr>
        <sz val="14"/>
        <rFont val="Times New Roman"/>
        <family val="1"/>
      </rPr>
      <t xml:space="preserve"> =</t>
    </r>
  </si>
  <si>
    <r>
      <t>W</t>
    </r>
    <r>
      <rPr>
        <vertAlign val="subscript"/>
        <sz val="14"/>
        <rFont val="Times New Roman"/>
        <family val="1"/>
      </rPr>
      <t>1</t>
    </r>
    <r>
      <rPr>
        <sz val="14"/>
        <rFont val="Times New Roman"/>
        <family val="1"/>
      </rPr>
      <t xml:space="preserve"> =</t>
    </r>
  </si>
  <si>
    <r>
      <t>W</t>
    </r>
    <r>
      <rPr>
        <vertAlign val="subscript"/>
        <sz val="14"/>
        <rFont val="Times New Roman"/>
        <family val="1"/>
      </rPr>
      <t>2</t>
    </r>
    <r>
      <rPr>
        <sz val="14"/>
        <rFont val="Times New Roman"/>
        <family val="1"/>
      </rPr>
      <t xml:space="preserve"> =</t>
    </r>
  </si>
  <si>
    <r>
      <t>I</t>
    </r>
    <r>
      <rPr>
        <vertAlign val="subscript"/>
        <sz val="14"/>
        <rFont val="Times New Roman"/>
        <family val="1"/>
      </rPr>
      <t>x,</t>
    </r>
    <r>
      <rPr>
        <sz val="14"/>
        <rFont val="Times New Roman"/>
        <family val="1"/>
      </rPr>
      <t>I</t>
    </r>
    <r>
      <rPr>
        <vertAlign val="subscript"/>
        <sz val="14"/>
        <rFont val="Times New Roman"/>
        <family val="1"/>
      </rPr>
      <t>y</t>
    </r>
    <r>
      <rPr>
        <sz val="14"/>
        <rFont val="Times New Roman"/>
        <family val="1"/>
      </rPr>
      <t xml:space="preserve"> =</t>
    </r>
  </si>
  <si>
    <r>
      <t>e</t>
    </r>
    <r>
      <rPr>
        <vertAlign val="subscript"/>
        <sz val="14"/>
        <rFont val="Times New Roman"/>
        <family val="1"/>
      </rPr>
      <t>x,</t>
    </r>
    <r>
      <rPr>
        <vertAlign val="subscript"/>
        <sz val="14"/>
        <rFont val="Times New Roman"/>
        <family val="1"/>
      </rPr>
      <t>y</t>
    </r>
    <r>
      <rPr>
        <sz val="14"/>
        <rFont val="Times New Roman"/>
        <family val="1"/>
      </rPr>
      <t xml:space="preserve"> =</t>
    </r>
  </si>
  <si>
    <r>
      <t>I</t>
    </r>
    <r>
      <rPr>
        <vertAlign val="subscript"/>
        <sz val="14"/>
        <rFont val="Times New Roman"/>
        <family val="1"/>
      </rPr>
      <t>x,y</t>
    </r>
    <r>
      <rPr>
        <sz val="14"/>
        <rFont val="Times New Roman"/>
        <family val="1"/>
      </rPr>
      <t xml:space="preserve"> =</t>
    </r>
  </si>
  <si>
    <r>
      <t>I</t>
    </r>
    <r>
      <rPr>
        <vertAlign val="subscript"/>
        <sz val="14"/>
        <rFont val="Times New Roman"/>
        <family val="1"/>
      </rPr>
      <t>u,v</t>
    </r>
    <r>
      <rPr>
        <sz val="14"/>
        <rFont val="Times New Roman"/>
        <family val="1"/>
      </rPr>
      <t xml:space="preserve"> =</t>
    </r>
  </si>
  <si>
    <r>
      <t>W</t>
    </r>
    <r>
      <rPr>
        <vertAlign val="subscript"/>
        <sz val="14"/>
        <rFont val="Times New Roman"/>
        <family val="1"/>
      </rPr>
      <t>x,y</t>
    </r>
    <r>
      <rPr>
        <sz val="14"/>
        <rFont val="Times New Roman"/>
        <family val="1"/>
      </rPr>
      <t xml:space="preserve"> =</t>
    </r>
  </si>
  <si>
    <r>
      <t>I</t>
    </r>
    <r>
      <rPr>
        <vertAlign val="subscript"/>
        <sz val="14"/>
        <rFont val="Times New Roman"/>
        <family val="1"/>
      </rPr>
      <t>k1</t>
    </r>
    <r>
      <rPr>
        <sz val="14"/>
        <rFont val="Times New Roman"/>
        <family val="1"/>
      </rPr>
      <t xml:space="preserve"> =</t>
    </r>
  </si>
  <si>
    <r>
      <t>I</t>
    </r>
    <r>
      <rPr>
        <vertAlign val="subscript"/>
        <sz val="14"/>
        <rFont val="Times New Roman"/>
        <family val="1"/>
      </rPr>
      <t>k2</t>
    </r>
    <r>
      <rPr>
        <sz val="14"/>
        <rFont val="Times New Roman"/>
        <family val="1"/>
      </rPr>
      <t xml:space="preserve"> =</t>
    </r>
  </si>
  <si>
    <r>
      <t>j</t>
    </r>
    <r>
      <rPr>
        <vertAlign val="subscript"/>
        <sz val="14"/>
        <rFont val="Times New Roman"/>
        <family val="1"/>
      </rPr>
      <t xml:space="preserve"> </t>
    </r>
    <r>
      <rPr>
        <sz val="14"/>
        <rFont val="Times New Roman"/>
        <family val="1"/>
      </rPr>
      <t>=</t>
    </r>
  </si>
  <si>
    <r>
      <t>m</t>
    </r>
    <r>
      <rPr>
        <b/>
        <vertAlign val="subscript"/>
        <sz val="14"/>
        <rFont val="Times New Roman"/>
        <family val="1"/>
      </rPr>
      <t xml:space="preserve"> </t>
    </r>
    <r>
      <rPr>
        <sz val="14"/>
        <rFont val="Times New Roman"/>
        <family val="1"/>
      </rPr>
      <t>=</t>
    </r>
  </si>
  <si>
    <t>Ç =</t>
  </si>
  <si>
    <r>
      <t>a</t>
    </r>
    <r>
      <rPr>
        <vertAlign val="subscript"/>
        <sz val="14"/>
        <rFont val="Times New Roman"/>
        <family val="1"/>
      </rPr>
      <t>1</t>
    </r>
    <r>
      <rPr>
        <b/>
        <vertAlign val="subscript"/>
        <sz val="14"/>
        <rFont val="Times New Roman"/>
        <family val="1"/>
      </rPr>
      <t xml:space="preserve"> </t>
    </r>
    <r>
      <rPr>
        <sz val="14"/>
        <rFont val="Times New Roman"/>
        <family val="1"/>
      </rPr>
      <t>=</t>
    </r>
  </si>
  <si>
    <r>
      <t>b</t>
    </r>
    <r>
      <rPr>
        <vertAlign val="subscript"/>
        <sz val="14"/>
        <rFont val="Times New Roman"/>
        <family val="1"/>
      </rPr>
      <t>1</t>
    </r>
    <r>
      <rPr>
        <b/>
        <vertAlign val="subscript"/>
        <sz val="14"/>
        <rFont val="Times New Roman"/>
        <family val="1"/>
      </rPr>
      <t xml:space="preserve"> </t>
    </r>
    <r>
      <rPr>
        <sz val="14"/>
        <rFont val="Times New Roman"/>
        <family val="1"/>
      </rPr>
      <t>=</t>
    </r>
  </si>
  <si>
    <r>
      <t>a</t>
    </r>
    <r>
      <rPr>
        <vertAlign val="subscript"/>
        <sz val="14"/>
        <rFont val="Times New Roman"/>
        <family val="1"/>
      </rPr>
      <t>2</t>
    </r>
    <r>
      <rPr>
        <b/>
        <vertAlign val="subscript"/>
        <sz val="14"/>
        <rFont val="Times New Roman"/>
        <family val="1"/>
      </rPr>
      <t xml:space="preserve"> </t>
    </r>
    <r>
      <rPr>
        <sz val="14"/>
        <rFont val="Times New Roman"/>
        <family val="1"/>
      </rPr>
      <t>=</t>
    </r>
  </si>
  <si>
    <r>
      <t>b</t>
    </r>
    <r>
      <rPr>
        <vertAlign val="subscript"/>
        <sz val="14"/>
        <rFont val="Times New Roman"/>
        <family val="1"/>
      </rPr>
      <t>2</t>
    </r>
    <r>
      <rPr>
        <b/>
        <vertAlign val="subscript"/>
        <sz val="14"/>
        <rFont val="Times New Roman"/>
        <family val="1"/>
      </rPr>
      <t xml:space="preserve"> </t>
    </r>
    <r>
      <rPr>
        <sz val="14"/>
        <rFont val="Times New Roman"/>
        <family val="1"/>
      </rPr>
      <t>=</t>
    </r>
  </si>
  <si>
    <r>
      <t>I</t>
    </r>
    <r>
      <rPr>
        <vertAlign val="subscript"/>
        <sz val="14"/>
        <rFont val="Times New Roman"/>
        <family val="1"/>
      </rPr>
      <t>v</t>
    </r>
    <r>
      <rPr>
        <sz val="14"/>
        <rFont val="Times New Roman"/>
        <family val="1"/>
      </rPr>
      <t xml:space="preserve"> =</t>
    </r>
  </si>
  <si>
    <r>
      <t>e</t>
    </r>
    <r>
      <rPr>
        <vertAlign val="subscript"/>
        <sz val="14"/>
        <rFont val="Times New Roman"/>
        <family val="1"/>
      </rPr>
      <t>k1,</t>
    </r>
    <r>
      <rPr>
        <sz val="14"/>
        <rFont val="Times New Roman"/>
        <family val="1"/>
      </rPr>
      <t>e</t>
    </r>
    <r>
      <rPr>
        <vertAlign val="subscript"/>
        <sz val="14"/>
        <rFont val="Times New Roman"/>
        <family val="1"/>
      </rPr>
      <t>k2</t>
    </r>
    <r>
      <rPr>
        <sz val="14"/>
        <rFont val="Times New Roman"/>
        <family val="1"/>
      </rPr>
      <t xml:space="preserve"> =</t>
    </r>
  </si>
  <si>
    <r>
      <t>e</t>
    </r>
    <r>
      <rPr>
        <vertAlign val="subscript"/>
        <sz val="14"/>
        <rFont val="Times New Roman"/>
        <family val="1"/>
      </rPr>
      <t>k1,ek2</t>
    </r>
    <r>
      <rPr>
        <sz val="14"/>
        <rFont val="Times New Roman"/>
        <family val="1"/>
      </rPr>
      <t xml:space="preserve"> =</t>
    </r>
  </si>
  <si>
    <r>
      <t>e</t>
    </r>
    <r>
      <rPr>
        <vertAlign val="subscript"/>
        <sz val="14"/>
        <rFont val="Times New Roman"/>
        <family val="1"/>
      </rPr>
      <t>k1,</t>
    </r>
    <r>
      <rPr>
        <vertAlign val="subscript"/>
        <sz val="14"/>
        <rFont val="Times New Roman"/>
        <family val="1"/>
      </rPr>
      <t>k2</t>
    </r>
    <r>
      <rPr>
        <sz val="14"/>
        <rFont val="Times New Roman"/>
        <family val="1"/>
      </rPr>
      <t xml:space="preserve"> =</t>
    </r>
  </si>
  <si>
    <r>
      <t>e</t>
    </r>
    <r>
      <rPr>
        <vertAlign val="subscript"/>
        <sz val="14"/>
        <rFont val="Times New Roman"/>
        <family val="1"/>
      </rPr>
      <t>x,</t>
    </r>
    <r>
      <rPr>
        <sz val="14"/>
        <rFont val="Times New Roman"/>
        <family val="1"/>
      </rPr>
      <t>e</t>
    </r>
    <r>
      <rPr>
        <vertAlign val="subscript"/>
        <sz val="14"/>
        <rFont val="Times New Roman"/>
        <family val="1"/>
      </rPr>
      <t>y</t>
    </r>
    <r>
      <rPr>
        <sz val="14"/>
        <rFont val="Times New Roman"/>
        <family val="1"/>
      </rPr>
      <t xml:space="preserve"> =</t>
    </r>
  </si>
  <si>
    <r>
      <t>W</t>
    </r>
    <r>
      <rPr>
        <vertAlign val="subscript"/>
        <sz val="14"/>
        <rFont val="Times New Roman"/>
        <family val="1"/>
      </rPr>
      <t>xmax</t>
    </r>
    <r>
      <rPr>
        <sz val="14"/>
        <rFont val="Times New Roman"/>
        <family val="1"/>
      </rPr>
      <t>=</t>
    </r>
  </si>
  <si>
    <r>
      <t>W</t>
    </r>
    <r>
      <rPr>
        <vertAlign val="subscript"/>
        <sz val="14"/>
        <rFont val="Times New Roman"/>
        <family val="1"/>
      </rPr>
      <t>xmin</t>
    </r>
    <r>
      <rPr>
        <sz val="14"/>
        <rFont val="Times New Roman"/>
        <family val="1"/>
      </rPr>
      <t>=</t>
    </r>
  </si>
  <si>
    <r>
      <t>c</t>
    </r>
    <r>
      <rPr>
        <b/>
        <vertAlign val="subscript"/>
        <sz val="14"/>
        <rFont val="Times New Roman"/>
        <family val="1"/>
      </rPr>
      <t xml:space="preserve"> </t>
    </r>
    <r>
      <rPr>
        <sz val="14"/>
        <rFont val="Times New Roman"/>
        <family val="1"/>
      </rPr>
      <t>=</t>
    </r>
  </si>
  <si>
    <r>
      <t>B</t>
    </r>
    <r>
      <rPr>
        <b/>
        <vertAlign val="subscript"/>
        <sz val="14"/>
        <rFont val="Times New Roman"/>
        <family val="1"/>
      </rPr>
      <t xml:space="preserve"> </t>
    </r>
    <r>
      <rPr>
        <sz val="14"/>
        <rFont val="Times New Roman"/>
        <family val="1"/>
      </rPr>
      <t>=</t>
    </r>
  </si>
  <si>
    <r>
      <t>h</t>
    </r>
    <r>
      <rPr>
        <vertAlign val="subscript"/>
        <sz val="14"/>
        <rFont val="Times New Roman"/>
        <family val="1"/>
      </rPr>
      <t>1</t>
    </r>
    <r>
      <rPr>
        <b/>
        <vertAlign val="subscript"/>
        <sz val="14"/>
        <rFont val="Times New Roman"/>
        <family val="1"/>
      </rPr>
      <t xml:space="preserve"> </t>
    </r>
    <r>
      <rPr>
        <sz val="14"/>
        <rFont val="Times New Roman"/>
        <family val="1"/>
      </rPr>
      <t>=</t>
    </r>
  </si>
  <si>
    <t>Türkçe için, lütfen " 1 " yaz ve "Enter" i tuşla.</t>
  </si>
  <si>
    <t>Für Deutsch, tippen Sie bitte " 2 " ein und enter.</t>
  </si>
  <si>
    <t>For English, please type " 3 " and press "enter".</t>
  </si>
  <si>
    <t>Copyright : M. G. Kutay , Ver 09.01</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</si>
  <si>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</si>
  <si>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</si>
  <si>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www.guven-kutay.ch</t>
  </si>
  <si>
    <t>e-mail :  info@guven-kutay.ch</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</si>
  <si>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</si>
  <si>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</si>
  <si>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r>
      <t>W</t>
    </r>
    <r>
      <rPr>
        <vertAlign val="subscript"/>
        <sz val="14"/>
        <rFont val="Times New Roman"/>
        <family val="1"/>
      </rPr>
      <t>k1,k2</t>
    </r>
    <r>
      <rPr>
        <sz val="14"/>
        <rFont val="Times New Roman"/>
        <family val="1"/>
      </rPr>
      <t xml:space="preserve"> =</t>
    </r>
  </si>
  <si>
    <r>
      <t>W</t>
    </r>
    <r>
      <rPr>
        <vertAlign val="subscript"/>
        <sz val="14"/>
        <rFont val="Times New Roman"/>
        <family val="1"/>
      </rPr>
      <t>k1</t>
    </r>
    <r>
      <rPr>
        <sz val="14"/>
        <rFont val="Times New Roman"/>
        <family val="1"/>
      </rPr>
      <t>=W</t>
    </r>
    <r>
      <rPr>
        <vertAlign val="subscript"/>
        <sz val="14"/>
        <rFont val="Times New Roman"/>
        <family val="1"/>
      </rPr>
      <t>k2</t>
    </r>
    <r>
      <rPr>
        <sz val="14"/>
        <rFont val="Times New Roman"/>
        <family val="1"/>
      </rPr>
      <t>=</t>
    </r>
  </si>
  <si>
    <r>
      <t>W</t>
    </r>
    <r>
      <rPr>
        <vertAlign val="subscript"/>
        <sz val="14"/>
        <rFont val="Times New Roman"/>
        <family val="1"/>
      </rPr>
      <t>x</t>
    </r>
    <r>
      <rPr>
        <sz val="14"/>
        <rFont val="Times New Roman"/>
        <family val="1"/>
      </rPr>
      <t>=W</t>
    </r>
    <r>
      <rPr>
        <vertAlign val="subscript"/>
        <sz val="14"/>
        <rFont val="Times New Roman"/>
        <family val="1"/>
      </rPr>
      <t>y</t>
    </r>
    <r>
      <rPr>
        <sz val="14"/>
        <rFont val="Times New Roman"/>
        <family val="1"/>
      </rPr>
      <t>=</t>
    </r>
  </si>
  <si>
    <r>
      <t>W</t>
    </r>
    <r>
      <rPr>
        <vertAlign val="subscript"/>
        <sz val="14"/>
        <rFont val="Times New Roman"/>
        <family val="1"/>
      </rPr>
      <t>x</t>
    </r>
    <r>
      <rPr>
        <sz val="14"/>
        <rFont val="Times New Roman"/>
        <family val="1"/>
      </rPr>
      <t>=W</t>
    </r>
    <r>
      <rPr>
        <vertAlign val="subscript"/>
        <sz val="14"/>
        <rFont val="Times New Roman"/>
        <family val="1"/>
      </rPr>
      <t>k1</t>
    </r>
    <r>
      <rPr>
        <sz val="14"/>
        <rFont val="Times New Roman"/>
        <family val="1"/>
      </rPr>
      <t>=</t>
    </r>
  </si>
  <si>
    <r>
      <t>W</t>
    </r>
    <r>
      <rPr>
        <vertAlign val="subscript"/>
        <sz val="14"/>
        <rFont val="Times New Roman"/>
        <family val="1"/>
      </rPr>
      <t>y</t>
    </r>
    <r>
      <rPr>
        <sz val="14"/>
        <rFont val="Times New Roman"/>
        <family val="1"/>
      </rPr>
      <t>=W</t>
    </r>
    <r>
      <rPr>
        <vertAlign val="subscript"/>
        <sz val="14"/>
        <rFont val="Times New Roman"/>
        <family val="1"/>
      </rPr>
      <t>k2</t>
    </r>
    <r>
      <rPr>
        <sz val="14"/>
        <rFont val="Times New Roman"/>
        <family val="1"/>
      </rPr>
      <t>=</t>
    </r>
  </si>
  <si>
    <t>Lütfen, "Benioku.pdf" yi okuyunuz!</t>
  </si>
  <si>
    <t>All information in this program is factual to the best knowledge of the author and corresponds to the current state of the art. However, no liability is accepted for erroneous application. The user and/or the customer of this program must check the validity of simplifications on an individual basis and if necessary, make appropriate calculations. Corrections, clarifications or other questions, should be sent to us.</t>
  </si>
  <si>
    <t>The information in this program can be published with reference to the source. The input in this program (the blue fields) can be taken either from the documents on this Web site or from literature.</t>
  </si>
  <si>
    <t>Programın kullanılması:</t>
  </si>
  <si>
    <t>Benützung des Programmes:</t>
  </si>
  <si>
    <t>Using the program:</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</si>
  <si>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</si>
  <si>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</si>
  <si>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</si>
  <si>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Kullanacağınız sayfaya gelince, hesaplamaya başlamadan önce, bütün mavi karelerdeki değerleri siliniz. Böylece dikkatsizlik yanlışı yapma imkanını ortadan kaldırmış olursunuz.</t>
  </si>
  <si>
    <t>Wenn Sie die Berechnungsseite aufschlagen, bitte löschen Sie zuerst alle Werte in den blauen Feldern, damit keine Flüchtigkeitsfehler passieren können.</t>
  </si>
  <si>
    <t>If you open the calculation page, please extinguish all values in the blue fields first to avoid errors.</t>
  </si>
  <si>
    <t>Sıra ile mavi karelere yapacağınız hesaba ait değerleri dikkatlice yerleştiriniz. Hesaplamalarınız için gerekli olmayan mavi karelere değerler yerleştirmek yanlış hesap sonuçlarına sebep olabilir. Dikkatli olmak gereklidir.</t>
  </si>
  <si>
    <t>Bitte geben Sie in den blauen Felder die Werte für die Berechnung sorgfältig ein. Wenn Sie ein blaue Feld für Ihre Berechnung nicht brauchen, geben Sie nichts ein (mögliche Fehlerquelle). Bitte passen Sie auf.</t>
  </si>
  <si>
    <t>Please enter your input values carefully in the blue fields. Unused inputs can be left blank. Please be careful.</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</si>
  <si>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</si>
  <si>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 xml:space="preserve">Das Programm berechnet aus den blauen Feldern Berechnungsgrössen. Der Konstrukteur kann jene nach Bedarf und Anforderungen diese gleich annehmen oder entsprechend ändern. </t>
  </si>
  <si>
    <t>The program returns calculated results to the yellow fields. The user can accept these results, or change them.</t>
  </si>
  <si>
    <t>Çoğu mavi karenin çevresinde değerlerin nereden alınması gerektiğini gösteren bilgi bulunmaktadır. Bu gösterilere uyulması hesapların doğruluğu açısından çok önemlidir.</t>
  </si>
  <si>
    <t>In der Umgebung der blauen Felder gibt es Hinweis, wo man die entsprechende Werte entnehmen kann. Es ist für die Sicherheit der Berechnungen sehr wichtig. Die Hinweise müssen befolgt werden.</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</si>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</sst>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VTR&quot;000"/>
    <numFmt numFmtId="187" formatCode="&quot;VTR&quot;0"/>
    <numFmt numFmtId="188" formatCode="0.0"/>
    <numFmt numFmtId="189" formatCode="&quot;VTC&quot;0"/>
    <numFmt numFmtId="190" formatCode="&quot;RR&quot;000"/>
    <numFmt numFmtId="191" formatCode="0.0000"/>
    <numFmt numFmtId="192" formatCode="0\ &quot;°C&quot;"/>
    <numFmt numFmtId="193" formatCode="0.00000"/>
    <numFmt numFmtId="194" formatCode="0.000"/>
    <numFmt numFmtId="195" formatCode="0.000000000000000"/>
    <numFmt numFmtId="196" formatCode="&quot;Ja&quot;;&quot;Ja&quot;;&quot;Nein&quot;"/>
    <numFmt numFmtId="197" formatCode="&quot;Wahr&quot;;&quot;Wahr&quot;;&quot;Falsch&quot;"/>
    <numFmt numFmtId="198" formatCode="&quot;Ein&quot;;&quot;Ein&quot;;&quot;Aus&quot;"/>
    <numFmt numFmtId="199" formatCode="[$€-2]\ #,##0.00_);[Red]\([$€-2]\ #,##0.00\)"/>
    <numFmt numFmtId="200" formatCode="#0.00"/>
    <numFmt numFmtId="201" formatCode="#0"/>
    <numFmt numFmtId="202" formatCode="0.000000"/>
    <numFmt numFmtId="203" formatCode="0\ &quot;)&quot;"/>
  </numFmts>
  <fonts count="39">
    <font>
      <sz val="10"/>
      <name val="Arial"/>
      <family val="0"/>
    </font>
    <font>
      <b/>
      <sz val="10"/>
      <name val="Arial"/>
      <family val="0"/>
    </font>
    <font>
      <i/>
      <sz val="10"/>
      <name val="Arial"/>
      <family val="0"/>
    </font>
    <font>
      <b/>
      <i/>
      <sz val="10"/>
      <name val="Arial"/>
      <family val="0"/>
    </font>
    <font>
      <sz val="10"/>
      <color indexed="10"/>
      <name val="Arial"/>
      <family val="2"/>
    </font>
    <font>
      <sz val="12"/>
      <name val="Arial"/>
      <family val="2"/>
    </font>
    <font>
      <b/>
      <sz val="12"/>
      <color indexed="10"/>
      <name val="Arial"/>
      <family val="2"/>
    </font>
    <font>
      <sz val="12"/>
      <name val="MS Sans Serif"/>
      <family val="2"/>
    </font>
    <font>
      <b/>
      <sz val="12"/>
      <name val="Arial"/>
      <family val="2"/>
    </font>
    <font>
      <sz val="10"/>
      <name val="MS Sans Serif"/>
      <family val="2"/>
    </font>
    <font>
      <b/>
      <sz val="18"/>
      <color indexed="10"/>
      <name val="MS Sans Serif"/>
      <family val="2"/>
    </font>
    <font>
      <b/>
      <sz val="36"/>
      <color indexed="10"/>
      <name val="Arial"/>
      <family val="2"/>
    </font>
    <font>
      <b/>
      <sz val="12"/>
      <name val="MS Sans Serif"/>
      <family val="2"/>
    </font>
    <font>
      <b/>
      <sz val="10"/>
      <color indexed="50"/>
      <name val="Arial"/>
      <family val="2"/>
    </font>
    <font>
      <b/>
      <sz val="12"/>
      <color indexed="39"/>
      <name val="Arial"/>
      <family val="2"/>
    </font>
    <font>
      <vertAlign val="subscript"/>
      <sz val="16"/>
      <name val="Times New Roman"/>
      <family val="1"/>
    </font>
    <font>
      <b/>
      <sz val="14"/>
      <color indexed="10"/>
      <name val="Times New Roman"/>
      <family val="1"/>
    </font>
    <font>
      <b/>
      <sz val="12"/>
      <color indexed="12"/>
      <name val="Arial"/>
      <family val="2"/>
    </font>
    <font>
      <b/>
      <sz val="14"/>
      <name val="Times New Roman"/>
      <family val="1"/>
    </font>
    <font>
      <vertAlign val="subscript"/>
      <sz val="14"/>
      <name val="Times New Roman"/>
      <family val="1"/>
    </font>
    <font>
      <b/>
      <vertAlign val="subscript"/>
      <sz val="14"/>
      <name val="Times New Roman"/>
      <family val="1"/>
    </font>
    <font>
      <sz val="14"/>
      <name val="Times New Roman"/>
      <family val="1"/>
    </font>
    <font>
      <sz val="14"/>
      <color indexed="10"/>
      <name val="Times New Roman"/>
      <family val="1"/>
    </font>
    <font>
      <sz val="14"/>
      <color indexed="39"/>
      <name val="Times New Roman"/>
      <family val="1"/>
    </font>
    <font>
      <sz val="14"/>
      <color indexed="12"/>
      <name val="Times New Roman"/>
      <family val="1"/>
    </font>
    <font>
      <vertAlign val="superscript"/>
      <sz val="14"/>
      <name val="Times New Roman"/>
      <family val="1"/>
    </font>
    <font>
      <sz val="14"/>
      <name val="Arial"/>
      <family val="0"/>
    </font>
    <font>
      <sz val="14"/>
      <name val="Symbol"/>
      <family val="1"/>
    </font>
    <font>
      <b/>
      <sz val="14"/>
      <name val="Symbol"/>
      <family val="1"/>
    </font>
    <font>
      <b/>
      <sz val="12"/>
      <color indexed="12"/>
      <name val="MS Sans Serif"/>
      <family val="2"/>
    </font>
    <font>
      <u val="single"/>
      <sz val="10"/>
      <color indexed="12"/>
      <name val="Arial"/>
      <family val="2"/>
    </font>
    <font>
      <sz val="8"/>
      <name val="Arial"/>
      <family val="0"/>
    </font>
    <font>
      <b/>
      <i/>
      <sz val="16"/>
      <color indexed="10"/>
      <name val="Times New Roman"/>
      <family val="1"/>
    </font>
    <font>
      <b/>
      <i/>
      <sz val="18"/>
      <color indexed="10"/>
      <name val="Times New Roman"/>
      <family val="1"/>
    </font>
    <font>
      <sz val="12"/>
      <color indexed="10"/>
      <name val="Arial"/>
      <family val="2"/>
    </font>
    <font>
      <sz val="12"/>
      <color indexed="12"/>
      <name val="Arial"/>
      <family val="2"/>
    </font>
    <font>
      <i/>
      <sz val="12"/>
      <color indexed="10"/>
      <name val="Arial"/>
      <family val="2"/>
    </font>
    <font>
      <b/>
      <sz val="48"/>
      <color indexed="10"/>
      <name val="Arial"/>
      <family val="2"/>
    </font>
    <font>
      <b/>
      <i/>
      <sz val="12"/>
      <color indexed="10"/>
      <name val="Arial"/>
      <family val="2"/>
    </font>
  </fonts>
  <fills count="6">
    <fill>
      <patternFill/>
    </fill>
    <fill>
      <patternFill patternType="gray125"/>
    </fill>
    <fill>
      <patternFill patternType="lightGray">
        <fgColor indexed="13"/>
      </patternFill>
    </fill>
    <fill>
      <patternFill patternType="lightGray">
        <fgColor indexed="41"/>
      </patternFill>
    </fill>
    <fill>
      <patternFill patternType="lightGray">
        <fgColor indexed="11"/>
      </patternFill>
    </fill>
    <fill>
      <patternFill patternType="lightGray">
        <fgColor indexed="15"/>
      </patternFill>
    </fill>
  </fills>
  <borders count="8">
    <border>
      <left/>
      <right/>
      <top/>
      <bottom/>
      <diagonal/>
    </border>
    <border>
      <left style="thin"/>
      <right style="thin"/>
      <top style="thin"/>
      <bottom style="thin"/>
    </border>
    <border>
      <left>
        <color indexed="63"/>
      </left>
      <right>
        <color indexed="63"/>
      </right>
      <top>
        <color indexed="63"/>
      </top>
      <bottom style="dashDot">
        <color indexed="10"/>
      </bottom>
    </border>
    <border>
      <left>
        <color indexed="63"/>
      </left>
      <right>
        <color indexed="63"/>
      </right>
      <top style="dashDot">
        <color indexed="10"/>
      </top>
      <bottom>
        <color indexed="63"/>
      </bottom>
    </border>
    <border>
      <left style="double">
        <color indexed="10"/>
      </left>
      <right style="double">
        <color indexed="10"/>
      </right>
      <top style="double">
        <color indexed="10"/>
      </top>
      <bottom style="double">
        <color indexed="10"/>
      </bottom>
    </border>
    <border>
      <left style="double">
        <color indexed="10"/>
      </left>
      <right style="double">
        <color indexed="10"/>
      </right>
      <top style="double">
        <color indexed="10"/>
      </top>
      <bottom style="hair">
        <color indexed="10"/>
      </bottom>
    </border>
    <border>
      <left style="double">
        <color indexed="10"/>
      </left>
      <right style="double">
        <color indexed="10"/>
      </right>
      <top style="hair">
        <color indexed="10"/>
      </top>
      <bottom style="hair">
        <color indexed="10"/>
      </bottom>
    </border>
    <border>
      <left style="double">
        <color indexed="10"/>
      </left>
      <right style="double">
        <color indexed="10"/>
      </right>
      <top style="hair">
        <color indexed="10"/>
      </top>
      <bottom style="double">
        <color indexed="1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vertical="center"/>
      <protection hidden="1"/>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13" fillId="0" borderId="0" xfId="0" applyFont="1" applyAlignment="1" applyProtection="1">
      <alignment/>
      <protection hidden="1"/>
    </xf>
    <xf numFmtId="0" fontId="5"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4" fillId="0" borderId="0" xfId="0" applyFont="1" applyAlignment="1" applyProtection="1">
      <alignment vertical="center"/>
      <protection hidden="1"/>
    </xf>
    <xf numFmtId="0" fontId="17" fillId="0" borderId="0" xfId="0" applyFont="1" applyAlignment="1" applyProtection="1">
      <alignment vertical="center"/>
      <protection hidden="1"/>
    </xf>
    <xf numFmtId="0" fontId="18" fillId="0" borderId="0" xfId="0" applyFont="1" applyFill="1" applyAlignment="1" applyProtection="1">
      <alignment horizontal="right" vertical="center"/>
      <protection hidden="1"/>
    </xf>
    <xf numFmtId="0" fontId="21" fillId="0" borderId="0" xfId="0" applyFont="1" applyFill="1" applyAlignment="1" applyProtection="1">
      <alignment horizontal="right" vertical="center"/>
      <protection hidden="1"/>
    </xf>
    <xf numFmtId="0" fontId="21" fillId="0" borderId="0" xfId="0" applyFont="1" applyAlignment="1" applyProtection="1">
      <alignment horizontal="right" vertical="center"/>
      <protection hidden="1"/>
    </xf>
    <xf numFmtId="0" fontId="22" fillId="0" borderId="0" xfId="0" applyFont="1" applyAlignment="1" applyProtection="1">
      <alignment horizontal="right" vertical="center"/>
      <protection hidden="1"/>
    </xf>
    <xf numFmtId="0" fontId="21" fillId="0" borderId="0" xfId="0" applyFont="1" applyAlignment="1" applyProtection="1">
      <alignment horizontal="left" vertical="center"/>
      <protection hidden="1"/>
    </xf>
    <xf numFmtId="0" fontId="22" fillId="0" borderId="0" xfId="0" applyFont="1" applyAlignment="1" applyProtection="1">
      <alignment horizontal="left" vertical="center"/>
      <protection hidden="1"/>
    </xf>
    <xf numFmtId="0" fontId="21" fillId="0" borderId="0" xfId="0" applyFont="1" applyAlignment="1" applyProtection="1">
      <alignment vertical="center"/>
      <protection hidden="1"/>
    </xf>
    <xf numFmtId="1" fontId="22" fillId="2" borderId="0" xfId="0" applyNumberFormat="1" applyFont="1" applyFill="1" applyAlignment="1" applyProtection="1">
      <alignment vertical="center"/>
      <protection hidden="1"/>
    </xf>
    <xf numFmtId="0" fontId="22" fillId="0" borderId="0" xfId="0" applyFont="1" applyAlignment="1" applyProtection="1">
      <alignment vertical="center"/>
      <protection hidden="1"/>
    </xf>
    <xf numFmtId="0" fontId="26" fillId="0" borderId="0" xfId="0" applyFont="1" applyBorder="1" applyAlignment="1" applyProtection="1">
      <alignment/>
      <protection hidden="1"/>
    </xf>
    <xf numFmtId="0" fontId="26" fillId="0" borderId="0" xfId="0" applyFont="1" applyBorder="1" applyAlignment="1" applyProtection="1">
      <alignment horizontal="left"/>
      <protection hidden="1"/>
    </xf>
    <xf numFmtId="188" fontId="22" fillId="2" borderId="0" xfId="0" applyNumberFormat="1" applyFont="1" applyFill="1" applyAlignment="1" applyProtection="1">
      <alignment vertical="center"/>
      <protection hidden="1"/>
    </xf>
    <xf numFmtId="0" fontId="16" fillId="0" borderId="0" xfId="0" applyFont="1" applyAlignment="1" applyProtection="1">
      <alignment vertical="center"/>
      <protection hidden="1"/>
    </xf>
    <xf numFmtId="0" fontId="26" fillId="0" borderId="0" xfId="0" applyFont="1" applyAlignment="1" applyProtection="1">
      <alignment/>
      <protection hidden="1"/>
    </xf>
    <xf numFmtId="0" fontId="16" fillId="0" borderId="0" xfId="0" applyFont="1" applyAlignment="1" applyProtection="1">
      <alignment horizontal="left" vertical="center"/>
      <protection hidden="1"/>
    </xf>
    <xf numFmtId="0" fontId="21" fillId="0" borderId="0" xfId="0" applyFon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21" fillId="0" borderId="0" xfId="0" applyFont="1" applyBorder="1" applyAlignment="1" applyProtection="1">
      <alignment horizontal="right" vertical="center"/>
      <protection hidden="1"/>
    </xf>
    <xf numFmtId="2" fontId="22" fillId="2" borderId="0" xfId="0" applyNumberFormat="1" applyFont="1" applyFill="1" applyAlignment="1" applyProtection="1">
      <alignment vertical="center"/>
      <protection hidden="1"/>
    </xf>
    <xf numFmtId="0" fontId="27" fillId="0" borderId="0" xfId="0" applyFont="1" applyFill="1" applyAlignment="1" applyProtection="1">
      <alignment horizontal="right" vertical="center"/>
      <protection hidden="1"/>
    </xf>
    <xf numFmtId="0" fontId="28" fillId="0" borderId="0" xfId="0" applyFont="1" applyFill="1" applyAlignment="1" applyProtection="1">
      <alignment horizontal="right" vertical="center"/>
      <protection hidden="1"/>
    </xf>
    <xf numFmtId="2" fontId="21" fillId="0" borderId="0" xfId="0" applyNumberFormat="1" applyFont="1" applyAlignment="1" applyProtection="1">
      <alignment vertical="center"/>
      <protection hidden="1"/>
    </xf>
    <xf numFmtId="2" fontId="26" fillId="0" borderId="0" xfId="0" applyNumberFormat="1" applyFont="1" applyBorder="1" applyAlignment="1" applyProtection="1">
      <alignment/>
      <protection hidden="1"/>
    </xf>
    <xf numFmtId="2" fontId="21" fillId="0" borderId="0" xfId="0" applyNumberFormat="1" applyFont="1" applyBorder="1" applyAlignment="1" applyProtection="1">
      <alignment vertical="center"/>
      <protection hidden="1"/>
    </xf>
    <xf numFmtId="2" fontId="22" fillId="2" borderId="0" xfId="0" applyNumberFormat="1" applyFont="1" applyFill="1" applyBorder="1" applyAlignment="1" applyProtection="1">
      <alignment vertical="center"/>
      <protection hidden="1"/>
    </xf>
    <xf numFmtId="201" fontId="17" fillId="0" borderId="0" xfId="0" applyNumberFormat="1" applyFont="1" applyAlignment="1" applyProtection="1" quotePrefix="1">
      <alignment horizontal="center" vertical="center"/>
      <protection hidden="1"/>
    </xf>
    <xf numFmtId="0" fontId="17" fillId="0" borderId="0" xfId="0" applyFont="1" applyAlignment="1" applyProtection="1">
      <alignment/>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center"/>
      <protection hidden="1"/>
    </xf>
    <xf numFmtId="0" fontId="17" fillId="0" borderId="0" xfId="0" applyFont="1" applyAlignment="1" applyProtection="1">
      <alignment horizontal="center"/>
      <protection hidden="1"/>
    </xf>
    <xf numFmtId="0" fontId="29" fillId="0" borderId="0" xfId="0" applyFont="1" applyAlignment="1" applyProtection="1">
      <alignment horizontal="center" vertical="center"/>
      <protection hidden="1"/>
    </xf>
    <xf numFmtId="2" fontId="26" fillId="0" borderId="0" xfId="0" applyNumberFormat="1" applyFont="1" applyAlignment="1" applyProtection="1">
      <alignment/>
      <protection hidden="1"/>
    </xf>
    <xf numFmtId="2" fontId="24" fillId="3" borderId="0" xfId="0" applyNumberFormat="1" applyFont="1" applyFill="1" applyAlignment="1" applyProtection="1">
      <alignment vertical="center"/>
      <protection locked="0"/>
    </xf>
    <xf numFmtId="0" fontId="21" fillId="0" borderId="0" xfId="0" applyFont="1" applyAlignment="1" applyProtection="1">
      <alignment/>
      <protection hidden="1"/>
    </xf>
    <xf numFmtId="2" fontId="21" fillId="0" borderId="0" xfId="0" applyNumberFormat="1" applyFont="1" applyAlignment="1" applyProtection="1">
      <alignment/>
      <protection hidden="1"/>
    </xf>
    <xf numFmtId="0" fontId="24" fillId="3" borderId="0" xfId="0" applyFont="1" applyFill="1" applyAlignment="1" applyProtection="1">
      <alignment vertical="center"/>
      <protection locked="0"/>
    </xf>
    <xf numFmtId="2" fontId="23" fillId="3" borderId="1" xfId="0" applyNumberFormat="1" applyFont="1" applyFill="1" applyBorder="1" applyAlignment="1" applyProtection="1">
      <alignment horizontal="center"/>
      <protection locked="0"/>
    </xf>
    <xf numFmtId="2" fontId="24" fillId="3" borderId="0" xfId="0" applyNumberFormat="1" applyFont="1" applyFill="1" applyAlignment="1" applyProtection="1">
      <alignment horizontal="right" vertical="center"/>
      <protection locked="0"/>
    </xf>
    <xf numFmtId="0" fontId="5" fillId="0" borderId="0" xfId="0" applyFont="1" applyAlignment="1" applyProtection="1">
      <alignment/>
      <protection hidden="1"/>
    </xf>
    <xf numFmtId="0" fontId="22" fillId="0" borderId="0" xfId="0" applyFont="1" applyBorder="1" applyAlignment="1" applyProtection="1">
      <alignment vertical="center"/>
      <protection hidden="1"/>
    </xf>
    <xf numFmtId="0" fontId="21" fillId="0" borderId="2" xfId="0" applyFont="1" applyBorder="1" applyAlignment="1" applyProtection="1">
      <alignment vertical="center"/>
      <protection hidden="1"/>
    </xf>
    <xf numFmtId="2" fontId="21" fillId="0" borderId="2" xfId="0" applyNumberFormat="1" applyFont="1" applyBorder="1" applyAlignment="1" applyProtection="1">
      <alignment vertical="center"/>
      <protection hidden="1"/>
    </xf>
    <xf numFmtId="0" fontId="21" fillId="0" borderId="2" xfId="0" applyFont="1" applyBorder="1" applyAlignment="1" applyProtection="1">
      <alignment horizontal="left" vertical="center"/>
      <protection hidden="1"/>
    </xf>
    <xf numFmtId="0" fontId="26" fillId="0" borderId="2" xfId="0" applyFont="1" applyBorder="1" applyAlignment="1" applyProtection="1">
      <alignment/>
      <protection hidden="1"/>
    </xf>
    <xf numFmtId="0" fontId="21" fillId="0" borderId="3" xfId="0" applyFont="1" applyBorder="1" applyAlignment="1" applyProtection="1">
      <alignment vertical="center"/>
      <protection hidden="1"/>
    </xf>
    <xf numFmtId="2" fontId="21" fillId="0" borderId="3" xfId="0" applyNumberFormat="1" applyFont="1" applyBorder="1" applyAlignment="1" applyProtection="1">
      <alignment vertical="center"/>
      <protection hidden="1"/>
    </xf>
    <xf numFmtId="0" fontId="21" fillId="0" borderId="3" xfId="0" applyFont="1" applyBorder="1" applyAlignment="1" applyProtection="1">
      <alignment horizontal="left" vertical="center"/>
      <protection hidden="1"/>
    </xf>
    <xf numFmtId="0" fontId="16" fillId="0" borderId="3"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21" fillId="0" borderId="2" xfId="0" applyFont="1" applyBorder="1" applyAlignment="1" applyProtection="1">
      <alignment horizontal="right" vertical="center"/>
      <protection hidden="1"/>
    </xf>
    <xf numFmtId="2" fontId="22" fillId="2" borderId="2" xfId="0" applyNumberFormat="1" applyFont="1" applyFill="1" applyBorder="1" applyAlignment="1" applyProtection="1">
      <alignment vertical="center"/>
      <protection hidden="1"/>
    </xf>
    <xf numFmtId="0" fontId="18" fillId="0" borderId="3" xfId="0" applyFont="1" applyFill="1" applyBorder="1" applyAlignment="1" applyProtection="1">
      <alignment horizontal="right" vertical="center"/>
      <protection hidden="1"/>
    </xf>
    <xf numFmtId="0" fontId="26" fillId="0" borderId="3" xfId="0" applyFont="1" applyBorder="1" applyAlignment="1" applyProtection="1">
      <alignment/>
      <protection hidden="1"/>
    </xf>
    <xf numFmtId="2" fontId="22" fillId="2" borderId="3" xfId="0" applyNumberFormat="1" applyFont="1" applyFill="1" applyBorder="1" applyAlignment="1" applyProtection="1">
      <alignment vertical="center"/>
      <protection hidden="1"/>
    </xf>
    <xf numFmtId="2" fontId="16" fillId="0" borderId="0" xfId="0" applyNumberFormat="1" applyFont="1" applyBorder="1" applyAlignment="1" applyProtection="1">
      <alignment vertical="center"/>
      <protection hidden="1"/>
    </xf>
    <xf numFmtId="0" fontId="16" fillId="0" borderId="0" xfId="0" applyFont="1" applyBorder="1" applyAlignment="1" applyProtection="1">
      <alignment horizontal="left" vertical="center"/>
      <protection hidden="1"/>
    </xf>
    <xf numFmtId="0" fontId="18" fillId="0" borderId="0" xfId="0" applyFont="1" applyFill="1" applyBorder="1" applyAlignment="1" applyProtection="1">
      <alignment horizontal="right" vertical="center"/>
      <protection hidden="1"/>
    </xf>
    <xf numFmtId="2" fontId="24" fillId="3" borderId="0" xfId="0" applyNumberFormat="1" applyFont="1" applyFill="1" applyBorder="1" applyAlignment="1" applyProtection="1">
      <alignment vertical="center"/>
      <protection locked="0"/>
    </xf>
    <xf numFmtId="2" fontId="24" fillId="3" borderId="0" xfId="0" applyNumberFormat="1" applyFont="1" applyFill="1" applyBorder="1" applyAlignment="1" applyProtection="1">
      <alignment horizontal="right" vertical="center"/>
      <protection locked="0"/>
    </xf>
    <xf numFmtId="191" fontId="22" fillId="2" borderId="0" xfId="0" applyNumberFormat="1" applyFont="1" applyFill="1" applyAlignment="1" applyProtection="1">
      <alignment vertical="center"/>
      <protection hidden="1"/>
    </xf>
    <xf numFmtId="2" fontId="21" fillId="0" borderId="0" xfId="0" applyNumberFormat="1" applyFont="1" applyAlignment="1" applyProtection="1">
      <alignment horizontal="left" vertical="center"/>
      <protection hidden="1"/>
    </xf>
    <xf numFmtId="0" fontId="0" fillId="0" borderId="0" xfId="0" applyAlignment="1">
      <alignment horizontal="center"/>
    </xf>
    <xf numFmtId="201" fontId="8" fillId="0" borderId="0" xfId="0" applyNumberFormat="1" applyFont="1" applyAlignment="1" applyProtection="1" quotePrefix="1">
      <alignment vertical="center"/>
      <protection hidden="1"/>
    </xf>
    <xf numFmtId="201" fontId="8" fillId="0" borderId="0" xfId="0" applyNumberFormat="1" applyFont="1" applyAlignment="1" applyProtection="1" quotePrefix="1">
      <alignment horizontal="center" vertical="center"/>
      <protection hidden="1"/>
    </xf>
    <xf numFmtId="0" fontId="6" fillId="4" borderId="0" xfId="0" applyFont="1" applyFill="1" applyBorder="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14" fillId="0" borderId="0" xfId="0" applyFont="1" applyBorder="1" applyAlignment="1" applyProtection="1">
      <alignment horizontal="center" vertical="center" wrapText="1"/>
      <protection hidden="1"/>
    </xf>
    <xf numFmtId="2" fontId="16" fillId="0" borderId="0" xfId="0" applyNumberFormat="1"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Border="1" applyAlignment="1" applyProtection="1">
      <alignment/>
      <protection hidden="1"/>
    </xf>
    <xf numFmtId="0" fontId="9" fillId="0" borderId="0" xfId="0" applyFont="1" applyBorder="1" applyAlignment="1" applyProtection="1">
      <alignment vertical="center"/>
      <protection hidden="1"/>
    </xf>
    <xf numFmtId="0" fontId="29"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9" fillId="0" borderId="0" xfId="0" applyFont="1" applyBorder="1" applyAlignment="1" applyProtection="1">
      <alignment vertical="center" wrapText="1"/>
      <protection hidden="1"/>
    </xf>
    <xf numFmtId="0" fontId="9"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0" fillId="0" borderId="0" xfId="0" applyBorder="1" applyAlignment="1" applyProtection="1">
      <alignment horizontal="left" wrapText="1"/>
      <protection hidden="1"/>
    </xf>
    <xf numFmtId="0" fontId="17" fillId="0" borderId="0" xfId="0" applyFont="1" applyBorder="1" applyAlignment="1" applyProtection="1">
      <alignment horizontal="center" wrapText="1"/>
      <protection hidden="1"/>
    </xf>
    <xf numFmtId="0" fontId="9" fillId="0" borderId="0" xfId="0" applyFont="1" applyBorder="1" applyAlignment="1" applyProtection="1">
      <alignment horizontal="left" vertical="center" wrapText="1"/>
      <protection hidden="1"/>
    </xf>
    <xf numFmtId="0" fontId="33" fillId="2" borderId="0" xfId="0" applyFont="1" applyFill="1" applyAlignment="1" applyProtection="1">
      <alignment horizontal="center" vertical="center"/>
      <protection hidden="1"/>
    </xf>
    <xf numFmtId="0" fontId="11" fillId="2"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0" fontId="6" fillId="0" borderId="0" xfId="17" applyFont="1" applyAlignment="1" applyProtection="1">
      <alignment vertical="center"/>
      <protection hidden="1"/>
    </xf>
    <xf numFmtId="0" fontId="8" fillId="0" borderId="0" xfId="0" applyFont="1" applyAlignment="1" applyProtection="1" quotePrefix="1">
      <alignment horizontal="left" vertical="center"/>
      <protection hidden="1"/>
    </xf>
    <xf numFmtId="0" fontId="8" fillId="0" borderId="0" xfId="0" applyFont="1" applyAlignment="1" applyProtection="1">
      <alignment horizontal="left" vertical="top" wrapText="1"/>
      <protection hidden="1"/>
    </xf>
    <xf numFmtId="0" fontId="5" fillId="0" borderId="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5" fillId="0" borderId="0" xfId="0" applyFont="1" applyAlignment="1" applyProtection="1">
      <alignment vertical="top"/>
      <protection hidden="1"/>
    </xf>
    <xf numFmtId="0" fontId="6" fillId="0" borderId="0" xfId="0" applyFont="1" applyAlignment="1" applyProtection="1">
      <alignment vertical="top"/>
      <protection hidden="1"/>
    </xf>
    <xf numFmtId="203" fontId="8" fillId="0" borderId="0" xfId="0" applyNumberFormat="1" applyFont="1" applyAlignment="1" applyProtection="1">
      <alignment horizontal="right" vertical="top"/>
      <protection hidden="1"/>
    </xf>
    <xf numFmtId="0" fontId="5" fillId="0" borderId="0" xfId="0" applyFont="1" applyAlignment="1" applyProtection="1">
      <alignment horizontal="justify" vertical="center"/>
      <protection hidden="1"/>
    </xf>
    <xf numFmtId="0" fontId="5" fillId="0" borderId="0" xfId="0" applyFont="1" applyAlignment="1" applyProtection="1">
      <alignment horizontal="justify" vertical="top" wrapText="1"/>
      <protection hidden="1"/>
    </xf>
    <xf numFmtId="0" fontId="5" fillId="0" borderId="0" xfId="0" applyFont="1" applyAlignment="1" applyProtection="1">
      <alignment horizontal="right" vertical="center"/>
      <protection hidden="1"/>
    </xf>
    <xf numFmtId="0" fontId="36" fillId="0" borderId="0" xfId="0" applyFont="1" applyAlignment="1" applyProtection="1">
      <alignment/>
      <protection hidden="1"/>
    </xf>
    <xf numFmtId="0" fontId="34" fillId="0" borderId="0" xfId="0" applyFont="1" applyAlignment="1" applyProtection="1">
      <alignment/>
      <protection hidden="1"/>
    </xf>
    <xf numFmtId="0" fontId="5" fillId="0" borderId="0" xfId="0" applyFont="1" applyAlignment="1" applyProtection="1">
      <alignment vertical="center"/>
      <protection hidden="1"/>
    </xf>
    <xf numFmtId="0" fontId="37" fillId="0" borderId="0" xfId="0" applyFont="1" applyAlignment="1" applyProtection="1">
      <alignment horizontal="center" vertical="center"/>
      <protection hidden="1"/>
    </xf>
    <xf numFmtId="0" fontId="34" fillId="0" borderId="0" xfId="0" applyFont="1" applyAlignment="1" applyProtection="1">
      <alignment vertical="center" wrapText="1"/>
      <protection hidden="1"/>
    </xf>
    <xf numFmtId="0" fontId="34" fillId="0" borderId="0" xfId="0" applyFont="1" applyAlignment="1" applyProtection="1">
      <alignment horizontal="left" vertical="center" wrapText="1"/>
      <protection hidden="1"/>
    </xf>
    <xf numFmtId="0" fontId="35" fillId="0" borderId="0" xfId="0" applyFont="1" applyAlignment="1" applyProtection="1">
      <alignment vertical="center" wrapText="1"/>
      <protection hidden="1"/>
    </xf>
    <xf numFmtId="0" fontId="35" fillId="0" borderId="0" xfId="0" applyFont="1" applyAlignment="1" applyProtection="1">
      <alignment horizontal="left" vertical="center" wrapText="1"/>
      <protection hidden="1"/>
    </xf>
    <xf numFmtId="203" fontId="5" fillId="0" borderId="0" xfId="0" applyNumberFormat="1" applyFont="1" applyAlignment="1" applyProtection="1">
      <alignment horizontal="right" vertical="top"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vertical="center" wrapText="1"/>
      <protection hidden="1"/>
    </xf>
    <xf numFmtId="203" fontId="34" fillId="0" borderId="0" xfId="0" applyNumberFormat="1" applyFont="1" applyAlignment="1" applyProtection="1">
      <alignment horizontal="right" vertical="top" wrapText="1"/>
      <protection hidden="1"/>
    </xf>
    <xf numFmtId="203" fontId="35" fillId="0" borderId="0" xfId="0" applyNumberFormat="1" applyFont="1" applyAlignment="1" applyProtection="1">
      <alignment horizontal="right" vertical="top" wrapText="1"/>
      <protection hidden="1"/>
    </xf>
    <xf numFmtId="203" fontId="34" fillId="0" borderId="0" xfId="0" applyNumberFormat="1" applyFont="1" applyAlignment="1" applyProtection="1">
      <alignment vertical="top" wrapText="1"/>
      <protection hidden="1"/>
    </xf>
    <xf numFmtId="203" fontId="35" fillId="0" borderId="0" xfId="0" applyNumberFormat="1" applyFont="1" applyAlignment="1" applyProtection="1">
      <alignment vertical="top" wrapText="1"/>
      <protection hidden="1"/>
    </xf>
    <xf numFmtId="0" fontId="38" fillId="0" borderId="0" xfId="0" applyFont="1" applyAlignment="1" applyProtection="1">
      <alignment/>
      <protection hidden="1"/>
    </xf>
    <xf numFmtId="0" fontId="32" fillId="0" borderId="0" xfId="0" applyFont="1" applyAlignment="1" applyProtection="1">
      <alignment vertical="center"/>
      <protection hidden="1"/>
    </xf>
    <xf numFmtId="0" fontId="18" fillId="0" borderId="0" xfId="0" applyFont="1" applyAlignment="1" applyProtection="1">
      <alignment vertical="center"/>
      <protection hidden="1"/>
    </xf>
  </cellXfs>
  <cellStyles count="7">
    <cellStyle name="Normal" xfId="0"/>
    <cellStyle name="Comma" xfId="15"/>
    <cellStyle name="Comma [0]" xfId="16"/>
    <cellStyle name="Hyperlink"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30.emf" /><Relationship Id="rId4" Type="http://schemas.openxmlformats.org/officeDocument/2006/relationships/image" Target="../media/image31.emf" /><Relationship Id="rId5" Type="http://schemas.openxmlformats.org/officeDocument/2006/relationships/image" Target="../media/image29.emf" /><Relationship Id="rId6" Type="http://schemas.openxmlformats.org/officeDocument/2006/relationships/image" Target="../media/image33.emf" /><Relationship Id="rId7" Type="http://schemas.openxmlformats.org/officeDocument/2006/relationships/image" Target="../media/image32.emf" /><Relationship Id="rId8" Type="http://schemas.openxmlformats.org/officeDocument/2006/relationships/image" Target="../media/image37.emf" /><Relationship Id="rId9" Type="http://schemas.openxmlformats.org/officeDocument/2006/relationships/image" Target="../media/image38.emf" /><Relationship Id="rId10" Type="http://schemas.openxmlformats.org/officeDocument/2006/relationships/image" Target="../media/image39.emf" /><Relationship Id="rId11" Type="http://schemas.openxmlformats.org/officeDocument/2006/relationships/image" Target="../media/image40.emf" /><Relationship Id="rId12" Type="http://schemas.openxmlformats.org/officeDocument/2006/relationships/image" Target="../media/image41.emf" /><Relationship Id="rId13" Type="http://schemas.openxmlformats.org/officeDocument/2006/relationships/image" Target="../media/image44.emf" /><Relationship Id="rId14" Type="http://schemas.openxmlformats.org/officeDocument/2006/relationships/image" Target="../media/image45.emf" /><Relationship Id="rId15" Type="http://schemas.openxmlformats.org/officeDocument/2006/relationships/image" Target="../media/image46.emf" /><Relationship Id="rId16" Type="http://schemas.openxmlformats.org/officeDocument/2006/relationships/image" Target="../media/image47.emf" /><Relationship Id="rId17" Type="http://schemas.openxmlformats.org/officeDocument/2006/relationships/image" Target="../media/image48.emf" /><Relationship Id="rId18" Type="http://schemas.openxmlformats.org/officeDocument/2006/relationships/image" Target="../media/image21.emf" /><Relationship Id="rId19" Type="http://schemas.openxmlformats.org/officeDocument/2006/relationships/image" Target="../media/image51.emf" /><Relationship Id="rId20" Type="http://schemas.openxmlformats.org/officeDocument/2006/relationships/image" Target="../media/image52.emf" /><Relationship Id="rId21" Type="http://schemas.openxmlformats.org/officeDocument/2006/relationships/image" Target="../media/image50.emf" /><Relationship Id="rId22" Type="http://schemas.openxmlformats.org/officeDocument/2006/relationships/image" Target="../media/image49.emf" /><Relationship Id="rId23" Type="http://schemas.openxmlformats.org/officeDocument/2006/relationships/image" Target="../media/image53.emf" /><Relationship Id="rId24" Type="http://schemas.openxmlformats.org/officeDocument/2006/relationships/image" Target="../media/image54.emf" /><Relationship Id="rId25" Type="http://schemas.openxmlformats.org/officeDocument/2006/relationships/image" Target="../media/image49.emf" /><Relationship Id="rId26" Type="http://schemas.openxmlformats.org/officeDocument/2006/relationships/image" Target="../media/image53.emf" /><Relationship Id="rId27" Type="http://schemas.openxmlformats.org/officeDocument/2006/relationships/image" Target="../media/image54.emf" /><Relationship Id="rId28" Type="http://schemas.openxmlformats.org/officeDocument/2006/relationships/image" Target="../media/image56.emf" /><Relationship Id="rId29" Type="http://schemas.openxmlformats.org/officeDocument/2006/relationships/image" Target="../media/image59.emf" /><Relationship Id="rId30" Type="http://schemas.openxmlformats.org/officeDocument/2006/relationships/image" Target="../media/image58.emf" /><Relationship Id="rId31" Type="http://schemas.openxmlformats.org/officeDocument/2006/relationships/image" Target="../media/image23.emf" /><Relationship Id="rId32" Type="http://schemas.openxmlformats.org/officeDocument/2006/relationships/image" Target="../media/image24.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7.wmf" /><Relationship Id="rId2" Type="http://schemas.openxmlformats.org/officeDocument/2006/relationships/image" Target="../media/image19.wmf" /><Relationship Id="rId3" Type="http://schemas.openxmlformats.org/officeDocument/2006/relationships/image" Target="../media/image20.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55.wmf" /><Relationship Id="rId3" Type="http://schemas.openxmlformats.org/officeDocument/2006/relationships/image" Target="../media/image57.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60.wmf" /><Relationship Id="rId2" Type="http://schemas.openxmlformats.org/officeDocument/2006/relationships/image" Target="../media/image6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5.wmf" /><Relationship Id="rId2"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27.wmf" /><Relationship Id="rId3" Type="http://schemas.openxmlformats.org/officeDocument/2006/relationships/image" Target="../media/image28.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34.wmf" /><Relationship Id="rId3" Type="http://schemas.openxmlformats.org/officeDocument/2006/relationships/image" Target="../media/image35.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10.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6.wmf" /><Relationship Id="rId2" Type="http://schemas.openxmlformats.org/officeDocument/2006/relationships/image" Target="../media/image42.wmf" /><Relationship Id="rId3" Type="http://schemas.openxmlformats.org/officeDocument/2006/relationships/image" Target="../media/image4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9.wmf" /><Relationship Id="rId3" Type="http://schemas.openxmlformats.org/officeDocument/2006/relationships/image" Target="../media/image1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3.wmf" /><Relationship Id="rId3" Type="http://schemas.openxmlformats.org/officeDocument/2006/relationships/image" Target="../media/image14.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5.wmf" /><Relationship Id="rId2" Type="http://schemas.openxmlformats.org/officeDocument/2006/relationships/image" Target="../media/image16.wmf" /><Relationship Id="rId3" Type="http://schemas.openxmlformats.org/officeDocument/2006/relationships/image" Target="../media/image1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28575</xdr:rowOff>
    </xdr:from>
    <xdr:to>
      <xdr:col>3</xdr:col>
      <xdr:colOff>381000</xdr:colOff>
      <xdr:row>15</xdr:row>
      <xdr:rowOff>200025</xdr:rowOff>
    </xdr:to>
    <xdr:pic>
      <xdr:nvPicPr>
        <xdr:cNvPr id="1" name="Picture 5"/>
        <xdr:cNvPicPr preferRelativeResize="1">
          <a:picLocks noChangeAspect="1"/>
        </xdr:cNvPicPr>
      </xdr:nvPicPr>
      <xdr:blipFill>
        <a:blip r:embed="rId1"/>
        <a:stretch>
          <a:fillRect/>
        </a:stretch>
      </xdr:blipFill>
      <xdr:spPr>
        <a:xfrm>
          <a:off x="276225" y="2438400"/>
          <a:ext cx="1885950" cy="1724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GUVEN\Eigene%20Dateien\WEB\ExcelProgramlar\00_GenelSartlar\1+2-Sayf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0"/>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oleObject" Target="../embeddings/oleObject_0_10.bin" /><Relationship Id="rId13" Type="http://schemas.openxmlformats.org/officeDocument/2006/relationships/oleObject" Target="../embeddings/oleObject_0_11.bin" /><Relationship Id="rId14" Type="http://schemas.openxmlformats.org/officeDocument/2006/relationships/oleObject" Target="../embeddings/oleObject_0_12.bin" /><Relationship Id="rId15" Type="http://schemas.openxmlformats.org/officeDocument/2006/relationships/oleObject" Target="../embeddings/oleObject_0_13.bin" /><Relationship Id="rId16" Type="http://schemas.openxmlformats.org/officeDocument/2006/relationships/oleObject" Target="../embeddings/oleObject_0_14.bin" /><Relationship Id="rId17" Type="http://schemas.openxmlformats.org/officeDocument/2006/relationships/oleObject" Target="../embeddings/oleObject_0_15.bin" /><Relationship Id="rId18" Type="http://schemas.openxmlformats.org/officeDocument/2006/relationships/oleObject" Target="../embeddings/oleObject_0_16.bin" /><Relationship Id="rId19" Type="http://schemas.openxmlformats.org/officeDocument/2006/relationships/oleObject" Target="../embeddings/oleObject_0_17.bin" /><Relationship Id="rId20" Type="http://schemas.openxmlformats.org/officeDocument/2006/relationships/oleObject" Target="../embeddings/oleObject_0_18.bin" /><Relationship Id="rId21" Type="http://schemas.openxmlformats.org/officeDocument/2006/relationships/oleObject" Target="../embeddings/oleObject_0_19.bin" /><Relationship Id="rId22" Type="http://schemas.openxmlformats.org/officeDocument/2006/relationships/oleObject" Target="../embeddings/oleObject_0_20.bin" /><Relationship Id="rId23" Type="http://schemas.openxmlformats.org/officeDocument/2006/relationships/oleObject" Target="../embeddings/oleObject_0_21.bin" /><Relationship Id="rId24" Type="http://schemas.openxmlformats.org/officeDocument/2006/relationships/oleObject" Target="../embeddings/oleObject_0_22.bin" /><Relationship Id="rId25" Type="http://schemas.openxmlformats.org/officeDocument/2006/relationships/oleObject" Target="../embeddings/oleObject_0_23.bin" /><Relationship Id="rId26" Type="http://schemas.openxmlformats.org/officeDocument/2006/relationships/oleObject" Target="../embeddings/oleObject_0_24.bin" /><Relationship Id="rId27" Type="http://schemas.openxmlformats.org/officeDocument/2006/relationships/oleObject" Target="../embeddings/oleObject_0_25.bin" /><Relationship Id="rId28" Type="http://schemas.openxmlformats.org/officeDocument/2006/relationships/oleObject" Target="../embeddings/oleObject_0_26.bin" /><Relationship Id="rId29" Type="http://schemas.openxmlformats.org/officeDocument/2006/relationships/oleObject" Target="../embeddings/oleObject_0_27.bin" /><Relationship Id="rId30" Type="http://schemas.openxmlformats.org/officeDocument/2006/relationships/oleObject" Target="../embeddings/oleObject_0_28.bin" /><Relationship Id="rId31" Type="http://schemas.openxmlformats.org/officeDocument/2006/relationships/oleObject" Target="../embeddings/oleObject_0_29.bin" /><Relationship Id="rId32" Type="http://schemas.openxmlformats.org/officeDocument/2006/relationships/oleObject" Target="../embeddings/oleObject_0_30.bin" /><Relationship Id="rId33" Type="http://schemas.openxmlformats.org/officeDocument/2006/relationships/oleObject" Target="../embeddings/oleObject_0_31.bin" /><Relationship Id="rId34" Type="http://schemas.openxmlformats.org/officeDocument/2006/relationships/vmlDrawing" Target="../drawings/vmlDrawing1.vml" /><Relationship Id="rId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vmlDrawing" Target="../drawings/vmlDrawing9.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vmlDrawing" Target="../drawings/vmlDrawing10.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oleObject" Target="../embeddings/oleObject_11_2.bin" /><Relationship Id="rId4" Type="http://schemas.openxmlformats.org/officeDocument/2006/relationships/vmlDrawing" Target="../drawings/vmlDrawing11.v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2.v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7.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8.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U53"/>
  <sheetViews>
    <sheetView showGridLines="0" showRowColHeaders="0" showZeros="0" tabSelected="1" zoomScale="80" zoomScaleNormal="80" workbookViewId="0" topLeftCell="A1">
      <selection activeCell="P14" sqref="P14"/>
    </sheetView>
  </sheetViews>
  <sheetFormatPr defaultColWidth="9.140625" defaultRowHeight="15" customHeight="1"/>
  <cols>
    <col min="1" max="1" width="3.57421875" style="6" customWidth="1"/>
    <col min="2" max="8" width="10.7109375" style="6" customWidth="1"/>
    <col min="9" max="9" width="5.7109375" style="6" customWidth="1"/>
    <col min="10" max="11" width="6.7109375" style="6" customWidth="1"/>
    <col min="12" max="13" width="4.7109375" style="46" customWidth="1"/>
    <col min="14" max="14" width="6.7109375" style="6" customWidth="1"/>
    <col min="15" max="15" width="4.7109375" style="46" customWidth="1"/>
    <col min="16" max="16" width="7.7109375" style="6" customWidth="1"/>
    <col min="17" max="17" width="10.7109375" style="6" customWidth="1"/>
    <col min="18" max="18" width="27.140625" style="6" customWidth="1"/>
    <col min="19" max="19" width="4.140625" style="6" customWidth="1"/>
    <col min="20" max="22" width="10.7109375" style="6" customWidth="1"/>
    <col min="23" max="16384" width="11.421875" style="6" customWidth="1"/>
  </cols>
  <sheetData>
    <row r="1" ht="9.75" customHeight="1"/>
    <row r="2" spans="1:21" ht="19.5" customHeight="1">
      <c r="A2" s="4"/>
      <c r="B2" s="2" t="str">
        <f>IF(H10&gt;2.5," A T T E N T I O N :",IF(H10&gt;1.5,"A C H T U N G :","D İ K K A T :"))</f>
        <v>D İ K K A T :</v>
      </c>
      <c r="C2" s="1"/>
      <c r="D2" s="1"/>
      <c r="E2" s="1"/>
      <c r="F2" s="1"/>
      <c r="G2" s="1"/>
      <c r="H2" s="1"/>
      <c r="I2" s="1"/>
      <c r="J2" s="1"/>
      <c r="K2" s="1"/>
      <c r="L2" s="45"/>
      <c r="M2" s="45"/>
      <c r="N2" s="1"/>
      <c r="O2" s="45"/>
      <c r="P2" s="1"/>
      <c r="Q2" s="4"/>
      <c r="R2" s="4"/>
      <c r="S2" s="4"/>
      <c r="T2" s="4"/>
      <c r="U2" s="4"/>
    </row>
    <row r="3" spans="1:21" ht="63.75" customHeight="1">
      <c r="A3" s="4"/>
      <c r="B3" s="80" t="str">
        <f>IF(H10&gt;2.5,B39,IF(H10&gt;1.5,B37,IF(H10&gt;0.5,B35,"")))</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80"/>
      <c r="D3" s="80"/>
      <c r="E3" s="80"/>
      <c r="F3" s="80"/>
      <c r="G3" s="80"/>
      <c r="H3" s="80"/>
      <c r="I3" s="80"/>
      <c r="J3" s="80"/>
      <c r="K3" s="80"/>
      <c r="L3" s="80"/>
      <c r="M3" s="80"/>
      <c r="N3" s="80"/>
      <c r="O3" s="80"/>
      <c r="P3" s="80"/>
      <c r="Q3" s="80"/>
      <c r="R3" s="80"/>
      <c r="S3" s="4"/>
      <c r="T3" s="4"/>
      <c r="U3" s="4"/>
    </row>
    <row r="4" spans="1:21" ht="9.75" customHeight="1">
      <c r="A4" s="1"/>
      <c r="B4" s="1"/>
      <c r="C4" s="1"/>
      <c r="D4" s="1"/>
      <c r="E4" s="1"/>
      <c r="F4" s="1"/>
      <c r="G4" s="1"/>
      <c r="H4" s="1"/>
      <c r="I4" s="1"/>
      <c r="J4" s="1"/>
      <c r="K4" s="1"/>
      <c r="L4" s="45"/>
      <c r="M4" s="45"/>
      <c r="N4" s="1"/>
      <c r="O4" s="45"/>
      <c r="P4" s="1"/>
      <c r="Q4" s="1"/>
      <c r="R4" s="4"/>
      <c r="S4" s="4"/>
      <c r="T4" s="4"/>
      <c r="U4" s="4"/>
    </row>
    <row r="5" spans="1:21" ht="31.5" customHeight="1">
      <c r="A5" s="1"/>
      <c r="B5" s="80" t="str">
        <f>IF($H$10&gt;2.5,B45,IF($H$10&gt;1.5,B43,IF($H$10&gt;0.5,B41,"")))</f>
        <v>Bu programdaki her bilgiyi kaynak göstermek şartıyla her yerde kullanabilirsiniz. Bu programa verilecek değerleri (mavi kareler) ya bu sitedeki bilgilerden veya literatürden almalısınız.</v>
      </c>
      <c r="C5" s="80"/>
      <c r="D5" s="80"/>
      <c r="E5" s="80"/>
      <c r="F5" s="80"/>
      <c r="G5" s="80"/>
      <c r="H5" s="80"/>
      <c r="I5" s="80"/>
      <c r="J5" s="80"/>
      <c r="K5" s="80"/>
      <c r="L5" s="80"/>
      <c r="M5" s="80"/>
      <c r="N5" s="80"/>
      <c r="O5" s="80"/>
      <c r="P5" s="80"/>
      <c r="Q5" s="80"/>
      <c r="R5" s="80"/>
      <c r="S5" s="4"/>
      <c r="T5" s="4"/>
      <c r="U5" s="4"/>
    </row>
    <row r="6" spans="1:21" ht="9.75" customHeight="1">
      <c r="A6" s="1"/>
      <c r="C6" s="1"/>
      <c r="D6" s="1"/>
      <c r="E6" s="1"/>
      <c r="F6" s="1"/>
      <c r="G6" s="1"/>
      <c r="H6" s="1"/>
      <c r="I6" s="1"/>
      <c r="J6" s="1"/>
      <c r="K6" s="1"/>
      <c r="L6" s="45"/>
      <c r="M6" s="45"/>
      <c r="N6" s="1"/>
      <c r="O6" s="45"/>
      <c r="P6" s="1"/>
      <c r="Q6" s="1"/>
      <c r="R6" s="4"/>
      <c r="S6" s="4"/>
      <c r="T6" s="4"/>
      <c r="U6" s="4"/>
    </row>
    <row r="7" spans="1:21" ht="19.5" customHeight="1">
      <c r="A7" s="54"/>
      <c r="B7" s="103" t="s">
        <v>86</v>
      </c>
      <c r="C7" s="54"/>
      <c r="D7" s="54"/>
      <c r="E7" s="54"/>
      <c r="F7" s="1"/>
      <c r="G7" s="1"/>
      <c r="H7" s="1"/>
      <c r="I7" s="7" t="str">
        <f>IF(H10&gt;2.5,"Areas, moment of inertia and section moduli",IF(H10&gt;1.5,"Flächen, Trägheits- und Widerstandsmomente","Alanlar, eğilme atalet ve mukavemet momentleri"))</f>
        <v>Alanlar, eğilme atalet ve mukavemet momentleri</v>
      </c>
      <c r="J7" s="1"/>
      <c r="K7" s="1"/>
      <c r="L7" s="45"/>
      <c r="M7" s="45"/>
      <c r="N7" s="1"/>
      <c r="O7" s="45"/>
      <c r="P7" s="1"/>
      <c r="Q7" s="1"/>
      <c r="R7" s="4"/>
      <c r="S7" s="4"/>
      <c r="T7" s="4"/>
      <c r="U7" s="4"/>
    </row>
    <row r="8" spans="1:21" ht="19.5" customHeight="1">
      <c r="A8" s="54"/>
      <c r="B8" s="105" t="s">
        <v>87</v>
      </c>
      <c r="C8" s="105"/>
      <c r="D8" s="105"/>
      <c r="E8" s="105"/>
      <c r="I8" s="13" t="str">
        <f>IF($H$10&gt;2.5,"Sheets",IF($H$10&gt;1.5,"Blätter",IF($H$10&gt;0.5,"Sayfalar ","")))</f>
        <v>Sayfalar </v>
      </c>
      <c r="J8" s="13"/>
      <c r="K8" s="13" t="str">
        <f>IF($H$10&gt;2.5,"Table of contents",IF($H$10&gt;1.5,"Inhalt",IF($H$10&gt;0.5,"İçindekiler","")))</f>
        <v>İçindekiler</v>
      </c>
      <c r="M8" s="43"/>
      <c r="O8" s="44"/>
      <c r="P8" s="13" t="str">
        <f>IF($H$10&gt;2.5,"Sheets",IF($H$10&gt;1.5,"Blätter",IF($H$10&gt;0.5,"Sayfalar ","")))</f>
        <v>Sayfalar </v>
      </c>
      <c r="Q8" s="13"/>
      <c r="R8" s="13" t="str">
        <f>IF($H$10&gt;2.5,"Table of contents",IF($H$10&gt;1.5,"Inhalt",IF($H$10&gt;0.5,"İçindekiler","")))</f>
        <v>İçindekiler</v>
      </c>
      <c r="S8" s="4"/>
      <c r="T8" s="4"/>
      <c r="U8" s="4"/>
    </row>
    <row r="9" spans="1:21" ht="19.5" customHeight="1" thickBot="1">
      <c r="A9" s="1"/>
      <c r="B9" s="104" t="s">
        <v>83</v>
      </c>
      <c r="C9" s="3"/>
      <c r="D9" s="3"/>
      <c r="E9" s="3"/>
      <c r="H9" s="4"/>
      <c r="I9" s="79" t="s">
        <v>4</v>
      </c>
      <c r="P9" s="79" t="s">
        <v>5</v>
      </c>
      <c r="S9" s="4"/>
      <c r="T9" s="4"/>
      <c r="U9" s="4"/>
    </row>
    <row r="10" spans="1:21" ht="19.5" customHeight="1" thickBot="1" thickTop="1">
      <c r="A10" s="1"/>
      <c r="B10" s="100" t="s">
        <v>80</v>
      </c>
      <c r="C10" s="100"/>
      <c r="D10" s="100"/>
      <c r="E10" s="100"/>
      <c r="F10" s="100"/>
      <c r="G10" s="100"/>
      <c r="H10" s="98">
        <v>1</v>
      </c>
      <c r="I10" s="79"/>
      <c r="J10" s="41"/>
      <c r="K10" s="14"/>
      <c r="L10" s="43"/>
      <c r="M10" s="43"/>
      <c r="N10" s="15"/>
      <c r="O10" s="44"/>
      <c r="P10" s="79"/>
      <c r="Q10" s="1"/>
      <c r="R10" s="4"/>
      <c r="S10" s="4"/>
      <c r="T10" s="4"/>
      <c r="U10" s="4"/>
    </row>
    <row r="11" spans="1:21" ht="19.5" customHeight="1" thickBot="1" thickTop="1">
      <c r="A11" s="1"/>
      <c r="B11" s="101" t="s">
        <v>81</v>
      </c>
      <c r="C11" s="101"/>
      <c r="D11" s="101"/>
      <c r="E11" s="101"/>
      <c r="F11" s="101"/>
      <c r="G11" s="101"/>
      <c r="H11" s="98"/>
      <c r="I11" s="78"/>
      <c r="J11" s="41"/>
      <c r="K11" s="15"/>
      <c r="L11" s="43"/>
      <c r="M11" s="43"/>
      <c r="N11" s="15"/>
      <c r="O11" s="43"/>
      <c r="P11" s="78"/>
      <c r="Q11" s="1"/>
      <c r="R11" s="1"/>
      <c r="S11" s="1"/>
      <c r="T11" s="1"/>
      <c r="U11" s="4"/>
    </row>
    <row r="12" spans="1:21" ht="19.5" customHeight="1" thickBot="1" thickTop="1">
      <c r="A12" s="1"/>
      <c r="B12" s="102" t="s">
        <v>82</v>
      </c>
      <c r="C12" s="102"/>
      <c r="D12" s="102"/>
      <c r="E12" s="102"/>
      <c r="F12" s="102"/>
      <c r="G12" s="102"/>
      <c r="H12" s="98"/>
      <c r="I12" s="79" t="s">
        <v>6</v>
      </c>
      <c r="J12" s="41"/>
      <c r="K12" s="15"/>
      <c r="L12" s="43"/>
      <c r="M12" s="43"/>
      <c r="N12" s="15"/>
      <c r="O12" s="43"/>
      <c r="P12" s="79" t="s">
        <v>7</v>
      </c>
      <c r="Q12" s="1"/>
      <c r="R12" s="1"/>
      <c r="S12" s="1"/>
      <c r="T12" s="1"/>
      <c r="U12" s="4"/>
    </row>
    <row r="13" spans="1:21" ht="19.5" customHeight="1" thickBot="1" thickTop="1">
      <c r="A13" s="1"/>
      <c r="B13" s="99"/>
      <c r="C13" s="99"/>
      <c r="D13" s="99"/>
      <c r="E13" s="99"/>
      <c r="F13" s="99"/>
      <c r="G13" s="99"/>
      <c r="H13" s="99"/>
      <c r="I13" s="79"/>
      <c r="J13" s="41"/>
      <c r="K13" s="15"/>
      <c r="L13" s="43"/>
      <c r="M13" s="43"/>
      <c r="N13" s="15"/>
      <c r="O13" s="44"/>
      <c r="P13" s="79"/>
      <c r="Q13" s="1"/>
      <c r="R13" s="1"/>
      <c r="S13" s="1"/>
      <c r="T13" s="1"/>
      <c r="U13" s="4"/>
    </row>
    <row r="14" spans="1:21" ht="19.5" customHeight="1" thickTop="1">
      <c r="A14" s="1"/>
      <c r="B14" s="82" t="str">
        <f>IF(H10&gt;2.5,"Input fields (in blue) are not write-protected. ",IF(H10&gt;1.5,"Blaue Felder sind Eingabefelder, welche nicht schreibgeschützt sind. ",IF(H10&gt;0.5,"Mavi olan kareler kilitli olmayan ve yazılabilinen karelerdir","")))</f>
        <v>Mavi olan kareler kilitli olmayan ve yazılabilinen karelerdir</v>
      </c>
      <c r="C14" s="82"/>
      <c r="D14" s="82"/>
      <c r="E14" s="82"/>
      <c r="F14" s="82"/>
      <c r="G14" s="82"/>
      <c r="I14" s="78"/>
      <c r="J14" s="41"/>
      <c r="K14" s="15"/>
      <c r="L14" s="43"/>
      <c r="M14" s="43"/>
      <c r="N14" s="15"/>
      <c r="O14" s="43"/>
      <c r="P14" s="78"/>
      <c r="R14" s="5"/>
      <c r="S14" s="1"/>
      <c r="T14" s="1"/>
      <c r="U14" s="4"/>
    </row>
    <row r="15" spans="1:21" ht="19.5" customHeight="1">
      <c r="A15" s="1"/>
      <c r="B15" s="82"/>
      <c r="C15" s="82"/>
      <c r="D15" s="82"/>
      <c r="E15" s="82"/>
      <c r="F15" s="82"/>
      <c r="G15" s="82"/>
      <c r="H15" s="12"/>
      <c r="I15" s="79" t="s">
        <v>8</v>
      </c>
      <c r="J15"/>
      <c r="K15" s="15"/>
      <c r="L15" s="43"/>
      <c r="M15" s="43"/>
      <c r="N15" s="15"/>
      <c r="O15" s="44"/>
      <c r="P15" s="79" t="s">
        <v>22</v>
      </c>
      <c r="Q15" s="1"/>
      <c r="R15" s="1"/>
      <c r="S15" s="1"/>
      <c r="T15" s="1"/>
      <c r="U15" s="4"/>
    </row>
    <row r="16" spans="1:21" ht="19.5" customHeight="1">
      <c r="A16" s="1"/>
      <c r="B16" s="97" t="s">
        <v>95</v>
      </c>
      <c r="C16" s="97"/>
      <c r="D16" s="97"/>
      <c r="E16" s="97"/>
      <c r="F16" s="97"/>
      <c r="G16" s="97"/>
      <c r="I16" s="79"/>
      <c r="J16"/>
      <c r="K16" s="15"/>
      <c r="L16" s="43"/>
      <c r="M16" s="43"/>
      <c r="N16" s="15"/>
      <c r="O16" s="44"/>
      <c r="P16" s="79"/>
      <c r="Q16" s="1"/>
      <c r="R16" s="1"/>
      <c r="S16" s="1"/>
      <c r="T16" s="1"/>
      <c r="U16" s="4"/>
    </row>
    <row r="17" spans="1:21" ht="19.5" customHeight="1">
      <c r="A17" s="1"/>
      <c r="H17" s="8"/>
      <c r="J17"/>
      <c r="K17" s="15"/>
      <c r="L17" s="43"/>
      <c r="M17" s="43"/>
      <c r="N17" s="15"/>
      <c r="O17" s="44"/>
      <c r="P17" s="42"/>
      <c r="Q17" s="1"/>
      <c r="R17" s="1"/>
      <c r="S17" s="1"/>
      <c r="T17" s="1"/>
      <c r="U17" s="4"/>
    </row>
    <row r="18" spans="1:21" ht="19.5" customHeight="1">
      <c r="A18" s="1"/>
      <c r="B18" s="1"/>
      <c r="C18" s="1"/>
      <c r="D18" s="1"/>
      <c r="E18" s="1"/>
      <c r="I18" s="79" t="s">
        <v>23</v>
      </c>
      <c r="J18"/>
      <c r="K18"/>
      <c r="L18"/>
      <c r="M18"/>
      <c r="N18" s="77"/>
      <c r="O18"/>
      <c r="P18" s="79" t="s">
        <v>27</v>
      </c>
      <c r="Q18" s="1"/>
      <c r="R18" s="1"/>
      <c r="S18" s="1"/>
      <c r="T18" s="1"/>
      <c r="U18" s="4"/>
    </row>
    <row r="19" spans="1:21" ht="19.5" customHeight="1">
      <c r="A19" s="1"/>
      <c r="B19" s="1"/>
      <c r="C19" s="1"/>
      <c r="D19" s="1"/>
      <c r="E19" s="1"/>
      <c r="H19" s="1"/>
      <c r="I19" s="79"/>
      <c r="J19"/>
      <c r="K19"/>
      <c r="L19"/>
      <c r="M19"/>
      <c r="N19"/>
      <c r="O19"/>
      <c r="P19" s="79"/>
      <c r="R19" s="1"/>
      <c r="S19" s="1"/>
      <c r="T19" s="1"/>
      <c r="U19" s="4"/>
    </row>
    <row r="20" spans="1:21" ht="19.5" customHeight="1">
      <c r="A20" s="1"/>
      <c r="B20" s="1"/>
      <c r="C20" s="1"/>
      <c r="D20" s="1"/>
      <c r="E20" s="9"/>
      <c r="H20" s="1"/>
      <c r="I20" s="1"/>
      <c r="J20" s="1"/>
      <c r="K20" s="1"/>
      <c r="L20" s="45"/>
      <c r="M20" s="45"/>
      <c r="N20" s="1"/>
      <c r="O20" s="45"/>
      <c r="P20" s="1"/>
      <c r="Q20" s="1"/>
      <c r="R20" s="1"/>
      <c r="S20" s="1"/>
      <c r="T20" s="1"/>
      <c r="U20" s="4"/>
    </row>
    <row r="21" spans="1:21" ht="18" customHeight="1">
      <c r="A21" s="1"/>
      <c r="B21" s="9"/>
      <c r="C21" s="9"/>
      <c r="D21" s="9"/>
      <c r="E21" s="9"/>
      <c r="H21" s="1"/>
      <c r="I21" s="79" t="s">
        <v>28</v>
      </c>
      <c r="J21" s="1"/>
      <c r="K21" s="1"/>
      <c r="L21" s="45"/>
      <c r="M21" s="45"/>
      <c r="N21" s="1"/>
      <c r="O21" s="45"/>
      <c r="P21" s="79">
        <v>10</v>
      </c>
      <c r="Q21" s="1"/>
      <c r="R21" s="1"/>
      <c r="S21" s="1"/>
      <c r="T21" s="1"/>
      <c r="U21" s="4"/>
    </row>
    <row r="22" spans="1:21" ht="18" customHeight="1">
      <c r="A22" s="1"/>
      <c r="B22" s="1"/>
      <c r="C22" s="1"/>
      <c r="D22" s="1"/>
      <c r="E22" s="1"/>
      <c r="F22" s="1"/>
      <c r="H22" s="1"/>
      <c r="I22" s="79"/>
      <c r="P22" s="79"/>
      <c r="Q22" s="1"/>
      <c r="R22" s="1"/>
      <c r="S22" s="1"/>
      <c r="T22" s="1"/>
      <c r="U22" s="4"/>
    </row>
    <row r="23" spans="1:21" ht="18" customHeight="1">
      <c r="A23" s="1"/>
      <c r="B23" s="1"/>
      <c r="C23" s="1"/>
      <c r="D23" s="1"/>
      <c r="E23" s="1"/>
      <c r="F23" s="1"/>
      <c r="H23" s="1"/>
      <c r="I23" s="1"/>
      <c r="J23" s="1"/>
      <c r="K23" s="1"/>
      <c r="L23" s="45"/>
      <c r="M23" s="45"/>
      <c r="N23" s="1"/>
      <c r="O23" s="45"/>
      <c r="P23" s="1"/>
      <c r="Q23" s="1"/>
      <c r="R23" s="1"/>
      <c r="S23" s="1"/>
      <c r="T23" s="1"/>
      <c r="U23" s="4"/>
    </row>
    <row r="24" spans="1:21" ht="18" customHeight="1">
      <c r="A24" s="1"/>
      <c r="B24" s="10"/>
      <c r="F24" s="11"/>
      <c r="H24" s="1"/>
      <c r="I24" s="79">
        <v>11</v>
      </c>
      <c r="J24" s="1"/>
      <c r="K24" s="1"/>
      <c r="L24" s="45"/>
      <c r="M24" s="45"/>
      <c r="N24" s="1"/>
      <c r="O24" s="45"/>
      <c r="P24" s="1"/>
      <c r="Q24" s="4"/>
      <c r="R24" s="1"/>
      <c r="S24" s="1"/>
      <c r="T24" s="1"/>
      <c r="U24" s="4"/>
    </row>
    <row r="25" spans="1:21" ht="18" customHeight="1">
      <c r="A25" s="1"/>
      <c r="B25" s="1"/>
      <c r="C25" s="1"/>
      <c r="D25" s="1"/>
      <c r="E25" s="1"/>
      <c r="F25" s="1"/>
      <c r="G25" s="1"/>
      <c r="H25" s="1"/>
      <c r="I25" s="79"/>
      <c r="J25" s="1"/>
      <c r="K25" s="1"/>
      <c r="L25" s="45"/>
      <c r="M25" s="45"/>
      <c r="N25" s="1"/>
      <c r="O25" s="45"/>
      <c r="P25" s="1"/>
      <c r="Q25" s="1"/>
      <c r="R25" s="1"/>
      <c r="S25" s="1"/>
      <c r="T25" s="1"/>
      <c r="U25" s="4"/>
    </row>
    <row r="26" spans="1:21" ht="18" customHeight="1">
      <c r="A26" s="1"/>
      <c r="B26" s="1"/>
      <c r="C26" s="1"/>
      <c r="D26" s="1"/>
      <c r="E26" s="1"/>
      <c r="F26" s="1"/>
      <c r="G26" s="1"/>
      <c r="H26" s="1"/>
      <c r="I26" s="1"/>
      <c r="J26" s="1"/>
      <c r="K26" s="1"/>
      <c r="L26" s="45"/>
      <c r="M26" s="45"/>
      <c r="N26" s="1"/>
      <c r="O26" s="45"/>
      <c r="P26" s="1"/>
      <c r="Q26" s="1"/>
      <c r="R26" s="1"/>
      <c r="S26" s="1"/>
      <c r="T26" s="1"/>
      <c r="U26" s="4"/>
    </row>
    <row r="27" spans="1:21" ht="18" customHeight="1">
      <c r="A27" s="1"/>
      <c r="B27" s="1"/>
      <c r="C27" s="1"/>
      <c r="D27" s="1"/>
      <c r="E27" s="1"/>
      <c r="F27" s="1"/>
      <c r="G27" s="1"/>
      <c r="H27" s="1"/>
      <c r="I27" s="1"/>
      <c r="J27" s="1"/>
      <c r="K27" s="1"/>
      <c r="L27" s="45"/>
      <c r="M27" s="45"/>
      <c r="N27" s="1"/>
      <c r="O27" s="45"/>
      <c r="P27" s="1"/>
      <c r="Q27" s="1"/>
      <c r="R27" s="1"/>
      <c r="S27" s="1"/>
      <c r="T27" s="1"/>
      <c r="U27" s="4"/>
    </row>
    <row r="28" spans="1:21" ht="18" customHeight="1">
      <c r="A28" s="1"/>
      <c r="B28" s="1"/>
      <c r="C28" s="1"/>
      <c r="D28" s="1"/>
      <c r="E28" s="1"/>
      <c r="F28" s="1"/>
      <c r="G28" s="1"/>
      <c r="H28" s="1"/>
      <c r="I28" s="1"/>
      <c r="J28" s="1"/>
      <c r="K28" s="1"/>
      <c r="L28" s="45"/>
      <c r="M28" s="45"/>
      <c r="N28" s="1"/>
      <c r="O28" s="45"/>
      <c r="P28" s="1"/>
      <c r="Q28" s="1"/>
      <c r="R28" s="1"/>
      <c r="S28" s="1"/>
      <c r="T28" s="4"/>
      <c r="U28" s="4"/>
    </row>
    <row r="29" spans="1:21" ht="18" customHeight="1">
      <c r="A29" s="1"/>
      <c r="B29" s="1"/>
      <c r="C29" s="1"/>
      <c r="D29" s="1"/>
      <c r="E29" s="1"/>
      <c r="F29" s="1"/>
      <c r="G29" s="1"/>
      <c r="H29" s="1"/>
      <c r="I29" s="1"/>
      <c r="J29" s="1"/>
      <c r="K29" s="1"/>
      <c r="L29" s="45"/>
      <c r="M29" s="45"/>
      <c r="N29" s="1"/>
      <c r="O29" s="45"/>
      <c r="P29" s="1"/>
      <c r="Q29" s="1"/>
      <c r="R29" s="1"/>
      <c r="S29" s="1"/>
      <c r="T29" s="4"/>
      <c r="U29" s="4"/>
    </row>
    <row r="30" spans="1:21" ht="18" customHeight="1" hidden="1">
      <c r="A30" s="1"/>
      <c r="B30" s="1"/>
      <c r="C30" s="1"/>
      <c r="D30" s="1"/>
      <c r="E30" s="1"/>
      <c r="F30" s="1"/>
      <c r="G30" s="1"/>
      <c r="H30" s="1"/>
      <c r="I30" s="1"/>
      <c r="J30" s="1"/>
      <c r="K30" s="1"/>
      <c r="L30" s="45"/>
      <c r="M30" s="45"/>
      <c r="N30" s="1"/>
      <c r="O30" s="45"/>
      <c r="P30" s="1"/>
      <c r="Q30" s="1"/>
      <c r="R30" s="1"/>
      <c r="S30" s="1"/>
      <c r="T30" s="4"/>
      <c r="U30" s="4"/>
    </row>
    <row r="31" spans="1:21" ht="18" customHeight="1" hidden="1">
      <c r="A31" s="1"/>
      <c r="B31" s="1"/>
      <c r="C31" s="1"/>
      <c r="D31" s="1"/>
      <c r="E31" s="1"/>
      <c r="F31" s="1"/>
      <c r="G31" s="1"/>
      <c r="H31" s="1"/>
      <c r="I31" s="1"/>
      <c r="J31" s="1"/>
      <c r="K31" s="1"/>
      <c r="L31" s="45"/>
      <c r="M31" s="45"/>
      <c r="N31" s="1"/>
      <c r="O31" s="45"/>
      <c r="P31" s="1"/>
      <c r="Q31" s="1"/>
      <c r="R31" s="1"/>
      <c r="S31" s="1"/>
      <c r="T31" s="4"/>
      <c r="U31" s="4"/>
    </row>
    <row r="32" spans="1:21" ht="18" customHeight="1" hidden="1">
      <c r="A32" s="1"/>
      <c r="B32" s="1"/>
      <c r="C32" s="1"/>
      <c r="D32" s="1"/>
      <c r="E32" s="1"/>
      <c r="F32" s="1"/>
      <c r="G32" s="1"/>
      <c r="H32" s="1"/>
      <c r="I32" s="1"/>
      <c r="J32" s="1"/>
      <c r="K32" s="1"/>
      <c r="L32" s="45"/>
      <c r="M32" s="45"/>
      <c r="N32" s="1"/>
      <c r="O32" s="45"/>
      <c r="P32" s="1"/>
      <c r="Q32" s="1"/>
      <c r="R32" s="1"/>
      <c r="S32" s="1"/>
      <c r="T32" s="4"/>
      <c r="U32" s="4"/>
    </row>
    <row r="33" spans="1:21" ht="18" customHeight="1" hidden="1">
      <c r="A33" s="1"/>
      <c r="B33" s="1"/>
      <c r="C33" s="1"/>
      <c r="D33" s="1"/>
      <c r="E33" s="1"/>
      <c r="F33" s="1"/>
      <c r="G33" s="1"/>
      <c r="H33" s="1"/>
      <c r="I33" s="1"/>
      <c r="J33" s="1"/>
      <c r="K33" s="1"/>
      <c r="L33" s="45"/>
      <c r="M33" s="45"/>
      <c r="N33" s="1"/>
      <c r="O33" s="45"/>
      <c r="P33" s="1"/>
      <c r="Q33" s="1"/>
      <c r="R33" s="1"/>
      <c r="S33" s="1"/>
      <c r="T33" s="4"/>
      <c r="U33" s="4"/>
    </row>
    <row r="34" spans="1:21" ht="18" customHeight="1" hidden="1">
      <c r="A34" s="1"/>
      <c r="B34" s="1"/>
      <c r="C34" s="1"/>
      <c r="D34" s="1"/>
      <c r="E34" s="1"/>
      <c r="F34" s="1"/>
      <c r="G34" s="1"/>
      <c r="H34" s="1"/>
      <c r="I34" s="1"/>
      <c r="J34" s="1"/>
      <c r="K34" s="1"/>
      <c r="L34" s="45"/>
      <c r="M34" s="45"/>
      <c r="N34" s="1"/>
      <c r="O34" s="45"/>
      <c r="P34" s="1"/>
      <c r="Q34" s="1"/>
      <c r="R34" s="1"/>
      <c r="S34" s="1"/>
      <c r="T34" s="4"/>
      <c r="U34" s="4"/>
    </row>
    <row r="35" spans="1:21" ht="63.75" customHeight="1" hidden="1">
      <c r="A35" s="90" t="s">
        <v>0</v>
      </c>
      <c r="B35" s="106" t="s">
        <v>88</v>
      </c>
      <c r="C35" s="106"/>
      <c r="D35" s="106"/>
      <c r="E35" s="106"/>
      <c r="F35" s="106"/>
      <c r="G35" s="106"/>
      <c r="H35" s="106"/>
      <c r="I35" s="106"/>
      <c r="J35" s="106"/>
      <c r="K35" s="106"/>
      <c r="L35" s="106"/>
      <c r="M35" s="106"/>
      <c r="N35" s="106"/>
      <c r="O35" s="106"/>
      <c r="P35" s="106"/>
      <c r="Q35" s="106"/>
      <c r="R35" s="106"/>
      <c r="S35" s="4"/>
      <c r="T35" s="4"/>
      <c r="U35" s="4"/>
    </row>
    <row r="36" spans="1:21" ht="13.5" customHeight="1" hidden="1">
      <c r="A36" s="90"/>
      <c r="B36" s="85"/>
      <c r="C36" s="85"/>
      <c r="D36" s="85"/>
      <c r="E36" s="85"/>
      <c r="F36" s="85"/>
      <c r="G36" s="85"/>
      <c r="H36" s="85"/>
      <c r="I36" s="85"/>
      <c r="J36" s="85"/>
      <c r="K36" s="85"/>
      <c r="L36" s="85"/>
      <c r="M36" s="85"/>
      <c r="N36" s="85"/>
      <c r="O36" s="85"/>
      <c r="P36" s="85"/>
      <c r="Q36" s="85"/>
      <c r="R36" s="90"/>
      <c r="S36" s="4"/>
      <c r="T36" s="4"/>
      <c r="U36" s="4"/>
    </row>
    <row r="37" spans="1:21" ht="63.75" customHeight="1" hidden="1">
      <c r="A37" s="90" t="s">
        <v>1</v>
      </c>
      <c r="B37" s="107" t="s">
        <v>89</v>
      </c>
      <c r="C37" s="107"/>
      <c r="D37" s="107"/>
      <c r="E37" s="107"/>
      <c r="F37" s="107"/>
      <c r="G37" s="107"/>
      <c r="H37" s="107"/>
      <c r="I37" s="107"/>
      <c r="J37" s="107"/>
      <c r="K37" s="107"/>
      <c r="L37" s="107"/>
      <c r="M37" s="107"/>
      <c r="N37" s="107"/>
      <c r="O37" s="107"/>
      <c r="P37" s="107"/>
      <c r="Q37" s="107"/>
      <c r="R37" s="107"/>
      <c r="S37" s="4"/>
      <c r="T37" s="4"/>
      <c r="U37" s="4"/>
    </row>
    <row r="38" spans="1:21" ht="13.5" customHeight="1" hidden="1">
      <c r="A38" s="90"/>
      <c r="B38" s="86"/>
      <c r="C38" s="86"/>
      <c r="D38" s="86"/>
      <c r="E38" s="86"/>
      <c r="F38" s="86"/>
      <c r="G38" s="86"/>
      <c r="H38" s="86"/>
      <c r="I38" s="86"/>
      <c r="J38" s="86"/>
      <c r="K38" s="86"/>
      <c r="L38" s="86"/>
      <c r="M38" s="86"/>
      <c r="N38" s="86"/>
      <c r="O38" s="86"/>
      <c r="P38" s="86"/>
      <c r="Q38" s="86"/>
      <c r="R38" s="90"/>
      <c r="S38" s="4"/>
      <c r="T38" s="4"/>
      <c r="U38" s="4"/>
    </row>
    <row r="39" spans="1:18" ht="63.75" customHeight="1" hidden="1">
      <c r="A39" s="90" t="s">
        <v>2</v>
      </c>
      <c r="B39" s="108" t="s">
        <v>96</v>
      </c>
      <c r="C39" s="108"/>
      <c r="D39" s="108"/>
      <c r="E39" s="108"/>
      <c r="F39" s="108"/>
      <c r="G39" s="108"/>
      <c r="H39" s="108"/>
      <c r="I39" s="108"/>
      <c r="J39" s="108"/>
      <c r="K39" s="108"/>
      <c r="L39" s="108"/>
      <c r="M39" s="108"/>
      <c r="N39" s="108"/>
      <c r="O39" s="108"/>
      <c r="P39" s="108"/>
      <c r="Q39" s="108"/>
      <c r="R39" s="108"/>
    </row>
    <row r="40" spans="1:18" ht="13.5" customHeight="1" hidden="1">
      <c r="A40" s="90"/>
      <c r="B40" s="85"/>
      <c r="C40" s="85"/>
      <c r="D40" s="85"/>
      <c r="E40" s="85"/>
      <c r="F40" s="85"/>
      <c r="G40" s="85"/>
      <c r="H40" s="85"/>
      <c r="I40" s="85"/>
      <c r="J40" s="85"/>
      <c r="K40" s="85"/>
      <c r="L40" s="85"/>
      <c r="M40" s="85"/>
      <c r="N40" s="85"/>
      <c r="O40" s="85"/>
      <c r="P40" s="85"/>
      <c r="Q40" s="85"/>
      <c r="R40" s="88"/>
    </row>
    <row r="41" spans="1:18" ht="31.5" customHeight="1" hidden="1">
      <c r="A41" s="87" t="str">
        <f>A35</f>
        <v>TR</v>
      </c>
      <c r="B41" s="106" t="s">
        <v>84</v>
      </c>
      <c r="C41" s="106"/>
      <c r="D41" s="106"/>
      <c r="E41" s="106"/>
      <c r="F41" s="106"/>
      <c r="G41" s="106"/>
      <c r="H41" s="106"/>
      <c r="I41" s="106"/>
      <c r="J41" s="106"/>
      <c r="K41" s="106"/>
      <c r="L41" s="106"/>
      <c r="M41" s="106"/>
      <c r="N41" s="106"/>
      <c r="O41" s="106"/>
      <c r="P41" s="106"/>
      <c r="Q41" s="106"/>
      <c r="R41" s="106"/>
    </row>
    <row r="42" spans="1:18" ht="13.5" customHeight="1" hidden="1">
      <c r="A42" s="87"/>
      <c r="B42" s="91"/>
      <c r="C42" s="91"/>
      <c r="D42" s="91"/>
      <c r="E42" s="91"/>
      <c r="F42" s="91"/>
      <c r="G42" s="91"/>
      <c r="H42" s="91"/>
      <c r="I42" s="91"/>
      <c r="J42" s="91"/>
      <c r="K42" s="91"/>
      <c r="L42" s="91"/>
      <c r="M42" s="91"/>
      <c r="N42" s="91"/>
      <c r="O42" s="91"/>
      <c r="P42" s="91"/>
      <c r="Q42" s="91"/>
      <c r="R42" s="88"/>
    </row>
    <row r="43" spans="1:18" ht="31.5" customHeight="1" hidden="1">
      <c r="A43" s="87" t="str">
        <f>A37</f>
        <v>DE</v>
      </c>
      <c r="B43" s="107" t="s">
        <v>85</v>
      </c>
      <c r="C43" s="107"/>
      <c r="D43" s="107"/>
      <c r="E43" s="107"/>
      <c r="F43" s="107"/>
      <c r="G43" s="107"/>
      <c r="H43" s="107"/>
      <c r="I43" s="107"/>
      <c r="J43" s="107"/>
      <c r="K43" s="107"/>
      <c r="L43" s="107"/>
      <c r="M43" s="107"/>
      <c r="N43" s="107"/>
      <c r="O43" s="107"/>
      <c r="P43" s="107"/>
      <c r="Q43" s="107"/>
      <c r="R43" s="107"/>
    </row>
    <row r="44" spans="1:18" ht="13.5" customHeight="1" hidden="1">
      <c r="A44" s="87"/>
      <c r="B44" s="92"/>
      <c r="C44" s="92"/>
      <c r="D44" s="92"/>
      <c r="E44" s="92"/>
      <c r="F44" s="92"/>
      <c r="G44" s="92"/>
      <c r="H44" s="92"/>
      <c r="I44" s="92"/>
      <c r="J44" s="92"/>
      <c r="K44" s="92"/>
      <c r="L44" s="93"/>
      <c r="M44" s="93"/>
      <c r="N44" s="92"/>
      <c r="O44" s="93"/>
      <c r="P44" s="92"/>
      <c r="Q44" s="92"/>
      <c r="R44" s="88"/>
    </row>
    <row r="45" spans="1:18" ht="31.5" customHeight="1" hidden="1">
      <c r="A45" s="87" t="str">
        <f>A39</f>
        <v>EN</v>
      </c>
      <c r="B45" s="108" t="s">
        <v>97</v>
      </c>
      <c r="C45" s="108"/>
      <c r="D45" s="108"/>
      <c r="E45" s="108"/>
      <c r="F45" s="108"/>
      <c r="G45" s="108"/>
      <c r="H45" s="108"/>
      <c r="I45" s="108"/>
      <c r="J45" s="108"/>
      <c r="K45" s="108"/>
      <c r="L45" s="108"/>
      <c r="M45" s="108"/>
      <c r="N45" s="108"/>
      <c r="O45" s="108"/>
      <c r="P45" s="108"/>
      <c r="Q45" s="108"/>
      <c r="R45" s="108"/>
    </row>
    <row r="46" spans="1:18" ht="13.5" customHeight="1" hidden="1">
      <c r="A46" s="88"/>
      <c r="B46" s="91"/>
      <c r="C46" s="91"/>
      <c r="D46" s="91"/>
      <c r="E46" s="91"/>
      <c r="F46" s="91"/>
      <c r="G46" s="91"/>
      <c r="H46" s="91"/>
      <c r="I46" s="91"/>
      <c r="J46" s="91"/>
      <c r="K46" s="91"/>
      <c r="L46" s="91"/>
      <c r="M46" s="91"/>
      <c r="N46" s="91"/>
      <c r="O46" s="91"/>
      <c r="P46" s="91"/>
      <c r="Q46" s="91"/>
      <c r="R46" s="88"/>
    </row>
    <row r="47" spans="1:18" ht="13.5" customHeight="1" hidden="1">
      <c r="A47" s="88"/>
      <c r="B47" s="92"/>
      <c r="C47" s="92"/>
      <c r="D47" s="92"/>
      <c r="E47" s="92"/>
      <c r="F47" s="94"/>
      <c r="G47" s="94"/>
      <c r="H47" s="94"/>
      <c r="I47" s="94"/>
      <c r="J47" s="94"/>
      <c r="K47" s="94"/>
      <c r="L47" s="95"/>
      <c r="M47" s="95"/>
      <c r="N47" s="94"/>
      <c r="O47" s="95"/>
      <c r="P47" s="94"/>
      <c r="Q47" s="94"/>
      <c r="R47" s="88"/>
    </row>
    <row r="48" spans="1:18" ht="13.5" customHeight="1" hidden="1">
      <c r="A48" s="88"/>
      <c r="B48" s="96"/>
      <c r="C48" s="96"/>
      <c r="D48" s="96"/>
      <c r="E48" s="96"/>
      <c r="F48" s="96"/>
      <c r="G48" s="96"/>
      <c r="H48" s="96"/>
      <c r="I48" s="96"/>
      <c r="J48" s="96"/>
      <c r="K48" s="96"/>
      <c r="L48" s="96"/>
      <c r="M48" s="96"/>
      <c r="N48" s="96"/>
      <c r="O48" s="96"/>
      <c r="P48" s="96"/>
      <c r="Q48" s="96"/>
      <c r="R48" s="88"/>
    </row>
    <row r="49" spans="1:18" ht="13.5" customHeight="1" hidden="1">
      <c r="A49" s="88"/>
      <c r="B49" s="96"/>
      <c r="C49" s="96"/>
      <c r="D49" s="96"/>
      <c r="E49" s="96"/>
      <c r="F49" s="96"/>
      <c r="G49" s="96"/>
      <c r="H49" s="96"/>
      <c r="I49" s="96"/>
      <c r="J49" s="96"/>
      <c r="K49" s="96"/>
      <c r="L49" s="96"/>
      <c r="M49" s="96"/>
      <c r="N49" s="96"/>
      <c r="O49" s="96"/>
      <c r="P49" s="96"/>
      <c r="Q49" s="96"/>
      <c r="R49" s="88"/>
    </row>
    <row r="50" spans="1:18" ht="13.5" customHeight="1" hidden="1">
      <c r="A50" s="88"/>
      <c r="B50" s="88"/>
      <c r="C50" s="88"/>
      <c r="D50" s="88"/>
      <c r="E50" s="88"/>
      <c r="F50" s="88"/>
      <c r="G50" s="88"/>
      <c r="H50" s="88"/>
      <c r="I50" s="88"/>
      <c r="J50" s="88"/>
      <c r="K50" s="88"/>
      <c r="L50" s="89"/>
      <c r="M50" s="89"/>
      <c r="N50" s="88"/>
      <c r="O50" s="89"/>
      <c r="P50" s="88"/>
      <c r="Q50" s="88"/>
      <c r="R50" s="88"/>
    </row>
    <row r="51" spans="1:18" ht="13.5" customHeight="1" hidden="1">
      <c r="A51" s="88"/>
      <c r="B51" s="88"/>
      <c r="C51" s="88"/>
      <c r="D51" s="88"/>
      <c r="E51" s="88"/>
      <c r="F51" s="88"/>
      <c r="G51" s="88"/>
      <c r="H51" s="88"/>
      <c r="I51" s="88"/>
      <c r="J51" s="88"/>
      <c r="K51" s="88"/>
      <c r="L51" s="89"/>
      <c r="M51" s="89"/>
      <c r="N51" s="88"/>
      <c r="O51" s="89"/>
      <c r="P51" s="88"/>
      <c r="Q51" s="88"/>
      <c r="R51" s="88"/>
    </row>
    <row r="52" spans="1:18" ht="13.5" customHeight="1" hidden="1">
      <c r="A52" s="88"/>
      <c r="B52" s="88"/>
      <c r="C52" s="88"/>
      <c r="D52" s="88"/>
      <c r="E52" s="88"/>
      <c r="F52" s="88"/>
      <c r="G52" s="88"/>
      <c r="H52" s="88"/>
      <c r="I52" s="88"/>
      <c r="J52" s="88"/>
      <c r="K52" s="88"/>
      <c r="L52" s="89"/>
      <c r="M52" s="89"/>
      <c r="N52" s="88"/>
      <c r="O52" s="89"/>
      <c r="P52" s="88"/>
      <c r="Q52" s="88"/>
      <c r="R52" s="88"/>
    </row>
    <row r="53" spans="1:18" ht="13.5" customHeight="1" hidden="1">
      <c r="A53" s="88"/>
      <c r="B53" s="88"/>
      <c r="C53" s="88"/>
      <c r="D53" s="88"/>
      <c r="E53" s="88"/>
      <c r="F53" s="88"/>
      <c r="G53" s="88"/>
      <c r="H53" s="88"/>
      <c r="I53" s="88"/>
      <c r="J53" s="88"/>
      <c r="K53" s="88"/>
      <c r="L53" s="89"/>
      <c r="M53" s="89"/>
      <c r="N53" s="88"/>
      <c r="O53" s="89"/>
      <c r="P53" s="88"/>
      <c r="Q53" s="88"/>
      <c r="R53" s="88"/>
    </row>
    <row r="54" ht="13.5" customHeight="1" hidden="1"/>
    <row r="55" ht="13.5" customHeight="1" hidden="1"/>
    <row r="56" ht="15" customHeight="1" hidden="1"/>
    <row r="57" ht="15" customHeight="1" hidden="1"/>
    <row r="58" ht="15" customHeight="1" hidden="1"/>
    <row r="59" ht="15" customHeight="1" hidden="1"/>
  </sheetData>
  <sheetProtection password="EF77" sheet="1" objects="1" scenarios="1"/>
  <mergeCells count="28">
    <mergeCell ref="B35:R35"/>
    <mergeCell ref="B37:R37"/>
    <mergeCell ref="B39:R39"/>
    <mergeCell ref="B41:R41"/>
    <mergeCell ref="B43:R43"/>
    <mergeCell ref="B45:R45"/>
    <mergeCell ref="B48:Q49"/>
    <mergeCell ref="B10:G10"/>
    <mergeCell ref="B11:G11"/>
    <mergeCell ref="B12:G12"/>
    <mergeCell ref="H10:H12"/>
    <mergeCell ref="B13:H13"/>
    <mergeCell ref="B8:E8"/>
    <mergeCell ref="B16:G16"/>
    <mergeCell ref="B14:G15"/>
    <mergeCell ref="B3:R3"/>
    <mergeCell ref="B5:R5"/>
    <mergeCell ref="I24:I25"/>
    <mergeCell ref="I9:I10"/>
    <mergeCell ref="I12:I13"/>
    <mergeCell ref="I15:I16"/>
    <mergeCell ref="P9:P10"/>
    <mergeCell ref="P12:P13"/>
    <mergeCell ref="I18:I19"/>
    <mergeCell ref="I21:I22"/>
    <mergeCell ref="P15:P16"/>
    <mergeCell ref="P18:P19"/>
    <mergeCell ref="P21:P22"/>
  </mergeCells>
  <hyperlinks>
    <hyperlink ref="B7" r:id="rId1" display="www.guven-kutay.ch"/>
  </hyperlinks>
  <printOptions horizontalCentered="1" verticalCentered="1"/>
  <pageMargins left="0.3937007874015748" right="0.3937007874015748" top="0.5905511811023623" bottom="0.5905511811023623" header="0.5118110236220472" footer="0.5118110236220472"/>
  <pageSetup horizontalDpi="300" verticalDpi="300" orientation="landscape" paperSize="9" scale="80" r:id="rId35"/>
  <ignoredErrors>
    <ignoredError sqref="Q24 P15:P20 I15:O21 I11:I12 I9 P11:P12 P9 K9:O12 J9" numberStoredAsText="1"/>
  </ignoredErrors>
  <legacyDrawing r:id="rId34"/>
  <oleObjects>
    <oleObject progId="AutoCAD.Drawing.15" shapeId="710032" r:id="rId2"/>
    <oleObject progId="AutoCAD.Drawing.15" shapeId="723804" r:id="rId3"/>
    <oleObject progId="AutoCAD.Drawing.15" shapeId="734445" r:id="rId4"/>
    <oleObject progId="AutoCAD.Drawing.15" shapeId="739822" r:id="rId5"/>
    <oleObject progId="AutoCAD.Drawing.15" shapeId="746849" r:id="rId6"/>
    <oleObject progId="AutoCAD.Drawing.15" shapeId="756637" r:id="rId7"/>
    <oleObject progId="AutoCAD.Drawing.15" shapeId="771374" r:id="rId8"/>
    <oleObject progId="AutoCAD.Drawing.15" shapeId="820108" r:id="rId9"/>
    <oleObject progId="AutoCAD.Drawing.15" shapeId="841048" r:id="rId10"/>
    <oleObject progId="AutoCAD.Drawing.15" shapeId="1010365" r:id="rId11"/>
    <oleObject progId="AutoCAD.Drawing.15" shapeId="1015094" r:id="rId12"/>
    <oleObject progId="AutoCAD.Drawing.15" shapeId="1019423" r:id="rId13"/>
    <oleObject progId="AutoCAD.Drawing.15" shapeId="1909446" r:id="rId14"/>
    <oleObject progId="AutoCAD.Drawing.15" shapeId="1915019" r:id="rId15"/>
    <oleObject progId="AutoCAD.Drawing.15" shapeId="1919625" r:id="rId16"/>
    <oleObject progId="AutoCAD.Drawing.15" shapeId="1926210" r:id="rId17"/>
    <oleObject progId="AutoCAD.Drawing.15" shapeId="1937545" r:id="rId18"/>
    <oleObject progId="AutoCAD.Drawing.15" shapeId="1947017" r:id="rId19"/>
    <oleObject progId="AutoCAD.Drawing.15" shapeId="2055334" r:id="rId20"/>
    <oleObject progId="AutoCAD.Drawing.15" shapeId="2061019" r:id="rId21"/>
    <oleObject progId="AutoCAD.Drawing.15" shapeId="2067647" r:id="rId22"/>
    <oleObject progId="AutoCAD.Drawing.15" shapeId="2072744" r:id="rId23"/>
    <oleObject progId="AutoCAD.Drawing.15" shapeId="2078612" r:id="rId24"/>
    <oleObject progId="AutoCAD.Drawing.15" shapeId="2084366" r:id="rId25"/>
    <oleObject progId="AutoCAD.Drawing.15" shapeId="2091750" r:id="rId26"/>
    <oleObject progId="AutoCAD.Drawing.15" shapeId="2092442" r:id="rId27"/>
    <oleObject progId="AutoCAD.Drawing.15" shapeId="2093185" r:id="rId28"/>
    <oleObject progId="AutoCAD.Drawing.15" shapeId="2094187" r:id="rId29"/>
    <oleObject progId="AutoCAD.Drawing.15" shapeId="2140030" r:id="rId30"/>
    <oleObject progId="AutoCAD.Drawing.15" shapeId="2147643" r:id="rId31"/>
    <oleObject progId="AutoCAD.Drawing.15" shapeId="2219086" r:id="rId32"/>
    <oleObject progId="AutoCAD.Drawing.15" shapeId="2224511" r:id="rId33"/>
  </oleObjects>
</worksheet>
</file>

<file path=xl/worksheets/sheet10.xml><?xml version="1.0" encoding="utf-8"?>
<worksheet xmlns="http://schemas.openxmlformats.org/spreadsheetml/2006/main" xmlns:r="http://schemas.openxmlformats.org/officeDocument/2006/relationships">
  <dimension ref="A1:AG26"/>
  <sheetViews>
    <sheetView showGridLines="0" showRowColHeaders="0" zoomScale="80" zoomScaleNormal="80" workbookViewId="0" topLeftCell="A1">
      <selection activeCell="G23" sqref="G23"/>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IF(Info!H10&gt;2.5,"Half ellipse",IF(Info!H10&gt;1.5,"Halbellipse",IF(Info!H10&gt;0.5,"Yarım elips")))</f>
        <v>Yarım elips</v>
      </c>
      <c r="J2" s="16"/>
      <c r="K2" s="1"/>
    </row>
    <row r="3" spans="6:30" ht="22.5" customHeight="1">
      <c r="F3" s="16" t="s">
        <v>50</v>
      </c>
      <c r="G3" s="48">
        <v>3</v>
      </c>
      <c r="H3" s="20" t="str">
        <f>IF($H$1="m","m",IF($H$1="dm","dm",IF($H$1="cm","cm","mm")))</f>
        <v>cm</v>
      </c>
      <c r="J3" s="16" t="s">
        <v>32</v>
      </c>
      <c r="K3" s="34">
        <f>PI()*G3*G4/2</f>
        <v>9.42477796076938</v>
      </c>
      <c r="L3" s="20" t="str">
        <f>IF($H$1="m","m2",IF($H$1="dm","dm2",IF($H$1="cm","cm2","mm2")))</f>
        <v>cm2</v>
      </c>
      <c r="S3" s="24"/>
      <c r="T3" s="37"/>
      <c r="U3" s="20"/>
      <c r="W3" s="37"/>
      <c r="X3" s="20"/>
      <c r="Z3" s="37"/>
      <c r="AA3" s="20"/>
      <c r="AC3" s="37"/>
      <c r="AD3" s="20"/>
    </row>
    <row r="4" spans="6:17" ht="22.5" customHeight="1">
      <c r="F4" s="16" t="s">
        <v>19</v>
      </c>
      <c r="G4" s="48">
        <v>2</v>
      </c>
      <c r="H4" s="20" t="str">
        <f>IF($H$1="m","m",IF($H$1="dm","dm",IF($H$1="cm","cm","mm")))</f>
        <v>cm</v>
      </c>
      <c r="I4" s="22"/>
      <c r="J4" s="18" t="s">
        <v>35</v>
      </c>
      <c r="K4" s="34">
        <f>0.1098*G3^3*G4</f>
        <v>5.9292</v>
      </c>
      <c r="L4" s="20" t="str">
        <f>IF($H$1="m","m4",IF($H$1="dm","dm4",IF($H$1="cm","cm4","mm4")))</f>
        <v>cm4</v>
      </c>
      <c r="M4" s="37"/>
      <c r="N4" s="18" t="s">
        <v>26</v>
      </c>
      <c r="O4" s="34">
        <f>PI()*G3^2*G4/4</f>
        <v>14.137166941154069</v>
      </c>
      <c r="P4" s="20" t="s">
        <v>33</v>
      </c>
      <c r="Q4" s="20"/>
    </row>
    <row r="5" spans="6:30" ht="22.5" customHeight="1">
      <c r="F5" s="36" t="s">
        <v>64</v>
      </c>
      <c r="G5" s="75">
        <f>IF((G3-G4)/(G3+G4)&gt;0.85,3.8208,IF((G3-G4)/(G3+G4)&gt;0.75,3.6691,IF((G3-G4)/(G3+G4)&gt;0.65,3.5401,IF((G3-G4)/(G3+G4)&gt;0.55,3.4314,IF((G3-G4)/(G3+G4)&gt;0.45,3.3412,IF((G3-G4)/(G3+G4)&gt;0.35,3.2686,IF((G3-G4)/(G3+G4)&gt;0.25,3.2127,IF((G3-G4)/(G3+G4)&gt;0.15,3.1731,3.1495))))))))</f>
        <v>3.1731</v>
      </c>
      <c r="H5" s="25"/>
      <c r="J5" s="16" t="s">
        <v>9</v>
      </c>
      <c r="K5" s="34">
        <f>4*G3/3/PI()</f>
        <v>1.2732395447351628</v>
      </c>
      <c r="L5" s="20" t="str">
        <f>IF($H$1="m","m",IF($H$1="dm","dm",IF($H$1="cm","cm","mm")))</f>
        <v>cm</v>
      </c>
      <c r="N5" s="18" t="s">
        <v>26</v>
      </c>
      <c r="O5" s="34">
        <f>K4/(G3-K5)</f>
        <v>3.4337131024295</v>
      </c>
      <c r="P5" s="20" t="str">
        <f>IF($H$1="m","m3",IF($H$1="dm","dm3",IF($H$1="cm","cm3","mm3")))</f>
        <v>cm3</v>
      </c>
      <c r="S5" s="25"/>
      <c r="T5" s="38"/>
      <c r="U5" s="26"/>
      <c r="V5" s="25"/>
      <c r="W5" s="38"/>
      <c r="X5" s="26"/>
      <c r="Y5" s="25"/>
      <c r="Z5" s="38"/>
      <c r="AA5" s="26"/>
      <c r="AB5" s="25"/>
      <c r="AC5" s="38"/>
      <c r="AD5" s="26"/>
    </row>
    <row r="6" spans="6:24" s="25" customFormat="1" ht="22.5" customHeight="1">
      <c r="F6" s="18" t="s">
        <v>65</v>
      </c>
      <c r="G6" s="34">
        <f>G5*(G3+G4)</f>
        <v>15.865499999999999</v>
      </c>
      <c r="H6" s="20" t="s">
        <v>3</v>
      </c>
      <c r="I6" s="29"/>
      <c r="J6" s="18" t="s">
        <v>36</v>
      </c>
      <c r="K6" s="34">
        <f>PI()*G3*G4^3/8</f>
        <v>9.42477796076938</v>
      </c>
      <c r="L6" s="20" t="str">
        <f>IF($H$1="m","m4",IF($H$1="dm","dm4",IF($H$1="cm","cm4","mm4")))</f>
        <v>cm4</v>
      </c>
      <c r="M6" s="22"/>
      <c r="N6" s="18" t="s">
        <v>34</v>
      </c>
      <c r="O6" s="34">
        <f>PI()*G3*G4^2/4</f>
        <v>9.42477796076938</v>
      </c>
      <c r="P6" s="20" t="s">
        <v>33</v>
      </c>
      <c r="Q6" s="29"/>
      <c r="S6" s="31"/>
      <c r="T6" s="1"/>
      <c r="U6" s="32"/>
      <c r="V6" s="31"/>
      <c r="W6" s="39"/>
      <c r="X6" s="32"/>
    </row>
    <row r="7" spans="6:16" ht="22.5" customHeight="1">
      <c r="F7" s="18" t="s">
        <v>37</v>
      </c>
      <c r="G7" s="34">
        <f>PI()*G3^3*G4/8</f>
        <v>21.205750411731103</v>
      </c>
      <c r="H7" s="20" t="str">
        <f>IF($H$1="m","m4",IF($H$1="dm","dm4",IF($H$1="cm","cm4","mm4")))</f>
        <v>cm4</v>
      </c>
      <c r="J7" s="16" t="s">
        <v>21</v>
      </c>
      <c r="K7" s="34">
        <f>G4</f>
        <v>2</v>
      </c>
      <c r="L7" s="20" t="str">
        <f>IF($H$1="m","m",IF($H$1="dm","dm",IF($H$1="cm","cm","mm")))</f>
        <v>cm</v>
      </c>
      <c r="N7" s="18" t="s">
        <v>34</v>
      </c>
      <c r="O7" s="34">
        <f>PI()*G3*G4^2/8</f>
        <v>4.71238898038469</v>
      </c>
      <c r="P7" s="20" t="str">
        <f>IF($H$1="m","m3",IF($H$1="dm","dm3",IF($H$1="cm","cm3","mm3")))</f>
        <v>cm3</v>
      </c>
    </row>
    <row r="8" spans="2:17" ht="9.75" customHeight="1">
      <c r="B8" s="56"/>
      <c r="C8" s="56"/>
      <c r="D8" s="56"/>
      <c r="E8" s="57"/>
      <c r="F8" s="58"/>
      <c r="G8" s="56"/>
      <c r="H8" s="57"/>
      <c r="I8" s="58"/>
      <c r="J8" s="56"/>
      <c r="K8" s="57"/>
      <c r="L8" s="58"/>
      <c r="M8" s="56"/>
      <c r="N8" s="57"/>
      <c r="O8" s="58"/>
      <c r="P8" s="59"/>
      <c r="Q8" s="29"/>
    </row>
    <row r="9" spans="2:29" ht="9.75" customHeight="1">
      <c r="B9" s="60"/>
      <c r="C9" s="60"/>
      <c r="D9" s="60"/>
      <c r="E9" s="61"/>
      <c r="F9" s="62"/>
      <c r="G9" s="60"/>
      <c r="H9" s="61"/>
      <c r="I9" s="62"/>
      <c r="J9" s="60"/>
      <c r="K9" s="61"/>
      <c r="L9" s="62"/>
      <c r="M9" s="60"/>
      <c r="N9" s="61"/>
      <c r="O9" s="62"/>
      <c r="P9" s="63"/>
      <c r="Q9" s="28"/>
      <c r="R9" s="16"/>
      <c r="S9" s="37"/>
      <c r="T9" s="20"/>
      <c r="V9" s="37"/>
      <c r="W9" s="20"/>
      <c r="Y9" s="37"/>
      <c r="Z9" s="20"/>
      <c r="AB9" s="37"/>
      <c r="AC9" s="20"/>
    </row>
    <row r="10" spans="2:16" ht="22.5" customHeight="1">
      <c r="B10" s="1"/>
      <c r="F10" s="30" t="str">
        <f>IF(Info!H10&gt;2.5,"Quader ellipse",IF(Info!H10&gt;1.5,"Viertelellipse",IF(Info!H10&gt;0.5,"Çeyrek elips")))</f>
        <v>Çeyrek elips</v>
      </c>
      <c r="J10" s="1"/>
      <c r="K10" s="1"/>
      <c r="L10" s="1"/>
      <c r="M10" s="1"/>
      <c r="N10" s="1"/>
      <c r="P10" s="1"/>
    </row>
    <row r="11" spans="1:19" ht="22.5" customHeight="1">
      <c r="A11" s="1"/>
      <c r="B11" s="1"/>
      <c r="C11" s="1"/>
      <c r="D11" s="1"/>
      <c r="E11" s="1"/>
      <c r="F11" s="16" t="s">
        <v>50</v>
      </c>
      <c r="G11" s="48">
        <v>10</v>
      </c>
      <c r="H11" s="20" t="str">
        <f>IF($H$1="m","m",IF($H$1="dm","dm",IF($H$1="cm","cm","mm")))</f>
        <v>cm</v>
      </c>
      <c r="J11" s="16" t="s">
        <v>32</v>
      </c>
      <c r="K11" s="34">
        <f>PI()*G11*G12/4</f>
        <v>15.707963267948966</v>
      </c>
      <c r="L11" s="20" t="str">
        <f>IF($H$1="m","m2",IF($H$1="dm","dm2",IF($H$1="cm","cm2","mm2")))</f>
        <v>cm2</v>
      </c>
      <c r="N11" s="29"/>
      <c r="S11" s="31"/>
    </row>
    <row r="12" spans="2:19" ht="22.5" customHeight="1">
      <c r="B12" s="31"/>
      <c r="C12" s="31"/>
      <c r="D12" s="31"/>
      <c r="E12" s="39"/>
      <c r="F12" s="16" t="s">
        <v>19</v>
      </c>
      <c r="G12" s="48">
        <v>2</v>
      </c>
      <c r="H12" s="20" t="str">
        <f>IF($H$1="m","m",IF($H$1="dm","dm",IF($H$1="cm","cm","mm")))</f>
        <v>cm</v>
      </c>
      <c r="I12" s="22"/>
      <c r="J12" s="18" t="s">
        <v>35</v>
      </c>
      <c r="K12" s="34">
        <f>PI()*G11^3*G12/4</f>
        <v>1570.7963267948965</v>
      </c>
      <c r="L12" s="20" t="str">
        <f>IF($H$1="m","m4",IF($H$1="dm","dm4",IF($H$1="cm","cm4","mm4")))</f>
        <v>cm4</v>
      </c>
      <c r="M12" s="37"/>
      <c r="N12" s="20"/>
      <c r="O12" s="22"/>
      <c r="P12" s="37"/>
      <c r="Q12" s="20"/>
      <c r="R12" s="31"/>
      <c r="S12" s="31"/>
    </row>
    <row r="13" spans="10:26" ht="22.5" customHeight="1">
      <c r="J13" s="16" t="s">
        <v>9</v>
      </c>
      <c r="K13" s="34">
        <f>4*G11/3/PI()</f>
        <v>4.244131815783876</v>
      </c>
      <c r="L13" s="20" t="str">
        <f>IF($H$1="m","m",IF($H$1="dm","dm",IF($H$1="cm","cm","mm")))</f>
        <v>cm</v>
      </c>
      <c r="N13" s="18" t="s">
        <v>26</v>
      </c>
      <c r="O13" s="34">
        <f>K12/(G11-K13)</f>
        <v>272.90345722342477</v>
      </c>
      <c r="P13" s="20" t="str">
        <f>IF($H$1="m","m3",IF($H$1="dm","dm3",IF($H$1="cm","cm3","mm3")))</f>
        <v>cm3</v>
      </c>
      <c r="V13" s="37"/>
      <c r="Z13" s="20"/>
    </row>
    <row r="14" spans="6:32" ht="22.5" customHeight="1">
      <c r="F14" s="18" t="s">
        <v>37</v>
      </c>
      <c r="G14" s="34">
        <f>0.1963*G11^3*G12</f>
        <v>392.6</v>
      </c>
      <c r="H14" s="20" t="str">
        <f>IF($H$1="m","m4",IF($H$1="dm","dm4",IF($H$1="cm","cm4","mm4")))</f>
        <v>cm4</v>
      </c>
      <c r="I14" s="29"/>
      <c r="J14" s="18" t="s">
        <v>36</v>
      </c>
      <c r="K14" s="34">
        <f>PI()*G11*G12^3/4</f>
        <v>62.83185307179586</v>
      </c>
      <c r="L14" s="20" t="str">
        <f>IF($H$1="m","m4",IF($H$1="dm","dm4",IF($H$1="cm","cm4","mm4")))</f>
        <v>cm4</v>
      </c>
      <c r="M14" s="47"/>
      <c r="N14" s="29"/>
      <c r="O14" s="29"/>
      <c r="P14" s="47"/>
      <c r="Q14" s="29"/>
      <c r="V14" s="37"/>
      <c r="W14" s="20"/>
      <c r="Y14" s="37"/>
      <c r="Z14" s="20"/>
      <c r="AB14" s="37"/>
      <c r="AC14" s="20"/>
      <c r="AE14" s="37"/>
      <c r="AF14" s="20"/>
    </row>
    <row r="15" spans="6:29" ht="22.5" customHeight="1">
      <c r="F15" s="18" t="s">
        <v>70</v>
      </c>
      <c r="G15" s="34">
        <f>0.1963*G11*G12^3</f>
        <v>15.704</v>
      </c>
      <c r="H15" s="20" t="str">
        <f>IF($H$1="m","m4",IF($H$1="dm","dm4",IF($H$1="cm","cm4","mm4")))</f>
        <v>cm4</v>
      </c>
      <c r="J15" s="16" t="s">
        <v>21</v>
      </c>
      <c r="K15" s="34">
        <f>4*G12/3/PI()</f>
        <v>0.8488263631567751</v>
      </c>
      <c r="L15" s="20" t="str">
        <f>IF($H$1="m","m",IF($H$1="dm","dm",IF($H$1="cm","cm","mm")))</f>
        <v>cm</v>
      </c>
      <c r="N15" s="18" t="s">
        <v>34</v>
      </c>
      <c r="O15" s="34">
        <f>K14/(G12-K15)</f>
        <v>54.58069144468495</v>
      </c>
      <c r="P15" s="20" t="str">
        <f>IF($H$1="m","m3",IF($H$1="dm","dm3",IF($H$1="cm","cm3","mm3")))</f>
        <v>cm3</v>
      </c>
      <c r="S15" s="29"/>
      <c r="T15" s="29"/>
      <c r="AB15" s="37"/>
      <c r="AC15" s="20"/>
    </row>
    <row r="16" spans="9:32" ht="22.5" customHeight="1">
      <c r="I16" s="1"/>
      <c r="J16" s="1"/>
      <c r="K16" s="1"/>
      <c r="L16" s="1"/>
      <c r="M16" s="1"/>
      <c r="N16" s="1"/>
      <c r="O16" s="1"/>
      <c r="P16" s="1"/>
      <c r="Q16" s="20"/>
      <c r="V16" s="37"/>
      <c r="W16" s="20"/>
      <c r="Y16" s="37"/>
      <c r="Z16" s="20"/>
      <c r="AB16" s="37"/>
      <c r="AC16" s="20"/>
      <c r="AE16" s="37"/>
      <c r="AF16" s="20"/>
    </row>
    <row r="17" spans="1:33" s="64" customFormat="1" ht="9.75" customHeight="1">
      <c r="A17" s="22"/>
      <c r="B17" s="56"/>
      <c r="C17" s="56"/>
      <c r="D17" s="56"/>
      <c r="E17" s="57"/>
      <c r="S17" s="31"/>
      <c r="T17" s="31"/>
      <c r="U17" s="31"/>
      <c r="V17" s="39"/>
      <c r="W17" s="32"/>
      <c r="Y17" s="70"/>
      <c r="Z17" s="71"/>
      <c r="AG17" s="31"/>
    </row>
    <row r="18" spans="1:32" s="31" customFormat="1" ht="9.75" customHeight="1">
      <c r="A18" s="22"/>
      <c r="B18" s="60"/>
      <c r="C18" s="60"/>
      <c r="D18" s="60"/>
      <c r="E18" s="61"/>
      <c r="F18" s="62"/>
      <c r="G18" s="60"/>
      <c r="H18" s="61"/>
      <c r="I18" s="62"/>
      <c r="J18" s="60"/>
      <c r="K18" s="61"/>
      <c r="L18" s="62"/>
      <c r="M18" s="60"/>
      <c r="N18" s="61"/>
      <c r="O18" s="62"/>
      <c r="P18" s="63"/>
      <c r="Q18" s="28"/>
      <c r="S18" s="1"/>
      <c r="T18" s="1"/>
      <c r="V18" s="39"/>
      <c r="W18" s="32"/>
      <c r="Y18" s="39"/>
      <c r="Z18" s="32"/>
      <c r="AB18" s="39"/>
      <c r="AC18" s="32"/>
      <c r="AE18" s="39"/>
      <c r="AF18" s="32"/>
    </row>
    <row r="19" spans="2:18" ht="22.5" customHeight="1">
      <c r="B19" s="1"/>
      <c r="C19" s="31"/>
      <c r="D19" s="31"/>
      <c r="E19" s="39"/>
      <c r="F19" s="71" t="str">
        <f>IF(Info!H10&gt;2.5,"Corner with ellipse cut",IF(Info!H10&gt;1.5,"Ecke mit Ellipsausschnitt",IF(Info!H10&gt;0.5,"Elips kesitli köşe")))</f>
        <v>Elips kesitli köşe</v>
      </c>
      <c r="G19" s="31"/>
      <c r="L19" s="22"/>
      <c r="M19" s="31"/>
      <c r="R19" s="1"/>
    </row>
    <row r="20" spans="2:14" ht="22.5" customHeight="1">
      <c r="B20" s="1"/>
      <c r="C20" s="1"/>
      <c r="F20" s="16" t="s">
        <v>50</v>
      </c>
      <c r="G20" s="48">
        <v>3</v>
      </c>
      <c r="H20" s="20" t="str">
        <f>IF($H$1="m","m",IF($H$1="dm","dm",IF($H$1="cm","cm","mm")))</f>
        <v>cm</v>
      </c>
      <c r="J20" s="16" t="s">
        <v>32</v>
      </c>
      <c r="K20" s="34">
        <f>(1-PI()/4)*G20*G21</f>
        <v>1.2876110196153103</v>
      </c>
      <c r="L20" s="20" t="str">
        <f>IF($H$1="m","m2",IF($H$1="dm","dm2",IF($H$1="cm","cm2","mm2")))</f>
        <v>cm2</v>
      </c>
      <c r="N20" s="20"/>
    </row>
    <row r="21" spans="6:17" ht="22.5" customHeight="1">
      <c r="F21" s="16" t="s">
        <v>19</v>
      </c>
      <c r="G21" s="48">
        <v>2</v>
      </c>
      <c r="H21" s="20" t="str">
        <f>IF($H$1="m","m",IF($H$1="dm","dm",IF($H$1="cm","cm","mm")))</f>
        <v>cm</v>
      </c>
      <c r="I21" s="22"/>
      <c r="J21" s="18" t="s">
        <v>35</v>
      </c>
      <c r="K21" s="34">
        <f>0.00755*G20^3*G21</f>
        <v>0.4077</v>
      </c>
      <c r="L21" s="20" t="str">
        <f>IF($H$1="m","m4",IF($H$1="dm","dm4",IF($H$1="cm","cm4","mm4")))</f>
        <v>cm4</v>
      </c>
      <c r="M21" s="37"/>
      <c r="N21" s="20"/>
      <c r="O21" s="22"/>
      <c r="P21" s="37"/>
      <c r="Q21" s="20"/>
    </row>
    <row r="22" spans="2:16" ht="22.5" customHeight="1">
      <c r="B22" s="29"/>
      <c r="C22" s="29"/>
      <c r="J22" s="16" t="s">
        <v>9</v>
      </c>
      <c r="K22" s="34">
        <f>0.7766*G20</f>
        <v>2.3297999999999996</v>
      </c>
      <c r="L22" s="20" t="str">
        <f>IF($H$1="m","m",IF($H$1="dm","dm",IF($H$1="cm","cm","mm")))</f>
        <v>cm</v>
      </c>
      <c r="N22" s="18" t="s">
        <v>26</v>
      </c>
      <c r="O22" s="34">
        <f>K21/K22</f>
        <v>0.17499356167911412</v>
      </c>
      <c r="P22" s="20" t="str">
        <f>IF($H$1="m","m3",IF($H$1="dm","dm3",IF($H$1="cm","cm3","mm3")))</f>
        <v>cm3</v>
      </c>
    </row>
    <row r="23" spans="6:17" ht="22.5" customHeight="1">
      <c r="F23" s="22"/>
      <c r="G23" s="37"/>
      <c r="H23" s="20"/>
      <c r="I23" s="22"/>
      <c r="J23" s="18" t="s">
        <v>36</v>
      </c>
      <c r="K23" s="34">
        <f>0.00755*G20*G21^3</f>
        <v>0.1812</v>
      </c>
      <c r="L23" s="20" t="str">
        <f>IF($H$1="m","m4",IF($H$1="dm","dm4",IF($H$1="cm","cm4","mm4")))</f>
        <v>cm4</v>
      </c>
      <c r="N23" s="20"/>
      <c r="O23" s="22"/>
      <c r="P23" s="37"/>
      <c r="Q23" s="20"/>
    </row>
    <row r="24" spans="6:16" ht="22.5" customHeight="1">
      <c r="F24" s="22"/>
      <c r="G24" s="37"/>
      <c r="H24" s="20"/>
      <c r="I24" s="22"/>
      <c r="J24" s="16" t="s">
        <v>21</v>
      </c>
      <c r="K24" s="34">
        <f>0.7766*G21</f>
        <v>1.5532</v>
      </c>
      <c r="L24" s="20" t="str">
        <f>IF($H$1="m","m",IF($H$1="dm","dm",IF($H$1="cm","cm","mm")))</f>
        <v>cm</v>
      </c>
      <c r="N24" s="18" t="s">
        <v>34</v>
      </c>
      <c r="O24" s="34">
        <f>K23/K24</f>
        <v>0.11666237445274273</v>
      </c>
      <c r="P24" s="20" t="str">
        <f>IF($H$1="m","m3",IF($H$1="dm","dm3",IF($H$1="cm","cm3","mm3")))</f>
        <v>cm3</v>
      </c>
    </row>
    <row r="25" spans="1:16" ht="22.5" customHeight="1">
      <c r="A25" s="31"/>
      <c r="B25" s="31"/>
      <c r="C25" s="31"/>
      <c r="D25" s="31"/>
      <c r="E25" s="39"/>
      <c r="F25" s="1"/>
      <c r="G25" s="1"/>
      <c r="H25" s="1"/>
      <c r="I25" s="1"/>
      <c r="J25" s="1"/>
      <c r="K25" s="1"/>
      <c r="L25" s="1"/>
      <c r="M25" s="1"/>
      <c r="N25" s="1"/>
      <c r="O25" s="1"/>
      <c r="P25" s="1"/>
    </row>
    <row r="26" spans="1:18" ht="22.5" customHeight="1">
      <c r="A26" s="31"/>
      <c r="B26" s="31"/>
      <c r="C26" s="31"/>
      <c r="D26" s="31"/>
      <c r="E26" s="39"/>
      <c r="I26" s="32"/>
      <c r="M26" s="31"/>
      <c r="Q26" s="31"/>
      <c r="R26" s="31"/>
    </row>
    <row r="27" ht="22.5" customHeight="1"/>
    <row r="28" ht="22.5" customHeight="1"/>
    <row r="29" ht="22.5" customHeight="1"/>
    <row r="30" ht="22.5" customHeight="1"/>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5:L7 L22 L13:L21 L23" formula="1"/>
  </ignoredErrors>
  <legacyDrawing r:id="rId4"/>
  <oleObjects>
    <oleObject progId="AutoCAD.Drawing.15" shapeId="1536999" r:id="rId1"/>
    <oleObject progId="AutoCAD.Drawing.15" shapeId="1538796" r:id="rId2"/>
    <oleObject progId="AutoCAD.Drawing.15" shapeId="1541267" r:id="rId3"/>
  </oleObjects>
</worksheet>
</file>

<file path=xl/worksheets/sheet11.xml><?xml version="1.0" encoding="utf-8"?>
<worksheet xmlns="http://schemas.openxmlformats.org/spreadsheetml/2006/main" xmlns:r="http://schemas.openxmlformats.org/officeDocument/2006/relationships">
  <dimension ref="A1:AG26"/>
  <sheetViews>
    <sheetView showGridLines="0" showRowColHeaders="0" zoomScale="80" zoomScaleNormal="80" workbookViewId="0" topLeftCell="A1">
      <selection activeCell="G25" sqref="G25"/>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IF(Info!H10&gt;2.5,"Parabola",IF(Info!H10&gt;1.5,"Parabel",IF(Info!H10&gt;0.5,"Parabol")))</f>
        <v>Parabol</v>
      </c>
      <c r="J2" s="16"/>
      <c r="K2" s="1"/>
    </row>
    <row r="3" spans="6:30" ht="22.5" customHeight="1">
      <c r="F3" s="16" t="s">
        <v>50</v>
      </c>
      <c r="G3" s="48">
        <v>3</v>
      </c>
      <c r="H3" s="20" t="str">
        <f>IF($H$1="m","m",IF($H$1="dm","dm",IF($H$1="cm","cm","mm")))</f>
        <v>cm</v>
      </c>
      <c r="J3" s="16" t="s">
        <v>32</v>
      </c>
      <c r="K3" s="34">
        <f>4*G3*G4/3</f>
        <v>8</v>
      </c>
      <c r="L3" s="20" t="str">
        <f>IF($H$1="m","m2",IF($H$1="dm","dm2",IF($H$1="cm","cm2","mm2")))</f>
        <v>cm2</v>
      </c>
      <c r="S3" s="24"/>
      <c r="T3" s="37"/>
      <c r="U3" s="20"/>
      <c r="W3" s="37"/>
      <c r="X3" s="20"/>
      <c r="Z3" s="37"/>
      <c r="AA3" s="20"/>
      <c r="AC3" s="37"/>
      <c r="AD3" s="20"/>
    </row>
    <row r="4" spans="6:17" ht="22.5" customHeight="1">
      <c r="F4" s="16" t="s">
        <v>19</v>
      </c>
      <c r="G4" s="48">
        <v>2</v>
      </c>
      <c r="H4" s="20" t="str">
        <f>IF($H$1="m","m",IF($H$1="dm","dm",IF($H$1="cm","cm","mm")))</f>
        <v>cm</v>
      </c>
      <c r="I4" s="22"/>
      <c r="J4" s="18" t="s">
        <v>35</v>
      </c>
      <c r="K4" s="34">
        <f>16*G3^3*G4/175</f>
        <v>4.937142857142857</v>
      </c>
      <c r="L4" s="20" t="str">
        <f>IF($H$1="m","m4",IF($H$1="dm","dm4",IF($H$1="cm","cm4","mm4")))</f>
        <v>cm4</v>
      </c>
      <c r="M4" s="37"/>
      <c r="N4" s="18" t="s">
        <v>26</v>
      </c>
      <c r="O4" s="34">
        <f>PI()*G3^2*G4/4</f>
        <v>14.137166941154069</v>
      </c>
      <c r="P4" s="76" t="str">
        <f>IF($H$1="m","m3",IF($H$1="dm","dm3",IF($H$1="cm","cm3","mm3")))</f>
        <v>cm3</v>
      </c>
      <c r="Q4" s="20"/>
    </row>
    <row r="5" spans="10:30" ht="22.5" customHeight="1">
      <c r="J5" s="16" t="s">
        <v>9</v>
      </c>
      <c r="K5" s="34">
        <f>2*G3/5</f>
        <v>1.2</v>
      </c>
      <c r="L5" s="20" t="str">
        <f>IF($H$1="m","m",IF($H$1="dm","dm",IF($H$1="cm","cm","mm")))</f>
        <v>cm</v>
      </c>
      <c r="N5" s="18" t="s">
        <v>26</v>
      </c>
      <c r="O5" s="34">
        <f>16*G3^2*G4/105</f>
        <v>2.742857142857143</v>
      </c>
      <c r="P5" s="20" t="str">
        <f>IF($H$1="m","m3",IF($H$1="dm","dm3",IF($H$1="cm","cm3","mm3")))</f>
        <v>cm3</v>
      </c>
      <c r="S5" s="25"/>
      <c r="T5" s="38"/>
      <c r="U5" s="26"/>
      <c r="V5" s="25"/>
      <c r="W5" s="38"/>
      <c r="X5" s="26"/>
      <c r="Y5" s="25"/>
      <c r="Z5" s="38"/>
      <c r="AA5" s="26"/>
      <c r="AB5" s="25"/>
      <c r="AC5" s="38"/>
      <c r="AD5" s="26"/>
    </row>
    <row r="6" spans="6:24" s="25" customFormat="1" ht="22.5" customHeight="1">
      <c r="F6" s="18" t="s">
        <v>37</v>
      </c>
      <c r="G6" s="34">
        <f>32*G3^3*G4/105</f>
        <v>16.457142857142856</v>
      </c>
      <c r="H6" s="20" t="str">
        <f>IF($H$1="m","m4",IF($H$1="dm","dm4",IF($H$1="cm","cm4","mm4")))</f>
        <v>cm4</v>
      </c>
      <c r="I6" s="49"/>
      <c r="J6" s="18" t="s">
        <v>36</v>
      </c>
      <c r="K6" s="34">
        <f>4*G3*G4^3/15</f>
        <v>6.4</v>
      </c>
      <c r="L6" s="20" t="str">
        <f>IF($H$1="m","m4",IF($H$1="dm","dm4",IF($H$1="cm","cm4","mm4")))</f>
        <v>cm4</v>
      </c>
      <c r="N6" s="18" t="s">
        <v>34</v>
      </c>
      <c r="O6" s="34">
        <f>PI()*G3*G4^2/4</f>
        <v>9.42477796076938</v>
      </c>
      <c r="P6" s="20" t="str">
        <f>IF($H$1="m","m3",IF($H$1="dm","dm3",IF($H$1="cm","cm3","mm3")))</f>
        <v>cm3</v>
      </c>
      <c r="Q6" s="49"/>
      <c r="S6" s="31"/>
      <c r="T6" s="1"/>
      <c r="U6" s="32"/>
      <c r="V6" s="31"/>
      <c r="W6" s="39"/>
      <c r="X6" s="32"/>
    </row>
    <row r="7" spans="6:16" ht="22.5" customHeight="1">
      <c r="F7" s="1"/>
      <c r="G7" s="1"/>
      <c r="H7" s="1"/>
      <c r="J7" s="16" t="s">
        <v>21</v>
      </c>
      <c r="K7" s="34">
        <f>G4</f>
        <v>2</v>
      </c>
      <c r="L7" s="20" t="str">
        <f>IF($H$1="m","m",IF($H$1="dm","dm",IF($H$1="cm","cm","mm")))</f>
        <v>cm</v>
      </c>
      <c r="N7" s="18" t="s">
        <v>34</v>
      </c>
      <c r="O7" s="34">
        <f>4*G3*G4^3/15</f>
        <v>6.4</v>
      </c>
      <c r="P7" s="20" t="str">
        <f>IF($H$1="m","m3",IF($H$1="dm","dm3",IF($H$1="cm","cm3","mm3")))</f>
        <v>cm3</v>
      </c>
    </row>
    <row r="8" spans="2:11" ht="9.75" customHeight="1">
      <c r="B8" s="56"/>
      <c r="C8" s="56"/>
      <c r="D8" s="56"/>
      <c r="E8" s="57"/>
      <c r="F8" s="49"/>
      <c r="G8" s="50"/>
      <c r="H8" s="49"/>
      <c r="I8" s="49"/>
      <c r="J8" s="50"/>
      <c r="K8" s="49"/>
    </row>
    <row r="9" spans="2:29" ht="9.75" customHeight="1">
      <c r="B9" s="60"/>
      <c r="C9" s="60"/>
      <c r="D9" s="60"/>
      <c r="E9" s="61"/>
      <c r="F9" s="62"/>
      <c r="G9" s="60"/>
      <c r="H9" s="61"/>
      <c r="I9" s="62"/>
      <c r="J9" s="60"/>
      <c r="K9" s="61"/>
      <c r="L9" s="62"/>
      <c r="M9" s="60"/>
      <c r="N9" s="61"/>
      <c r="O9" s="62"/>
      <c r="P9" s="63"/>
      <c r="Q9" s="28"/>
      <c r="R9" s="16"/>
      <c r="S9" s="37"/>
      <c r="T9" s="20"/>
      <c r="V9" s="37"/>
      <c r="W9" s="20"/>
      <c r="Y9" s="37"/>
      <c r="Z9" s="20"/>
      <c r="AB9" s="37"/>
      <c r="AC9" s="20"/>
    </row>
    <row r="10" spans="2:16" ht="22.5" customHeight="1">
      <c r="B10" s="1"/>
      <c r="F10" s="30" t="str">
        <f>IF(Info!H10&gt;2.5,"Quader parabola",IF(Info!H10&gt;1.5,"Viertelparabel",IF(Info!H10&gt;0.5,"Çeyrek parabol")))</f>
        <v>Çeyrek parabol</v>
      </c>
      <c r="J10" s="1"/>
      <c r="K10" s="1"/>
      <c r="L10" s="1"/>
      <c r="M10" s="1"/>
      <c r="N10" s="1"/>
      <c r="P10" s="1"/>
    </row>
    <row r="11" spans="1:19" ht="22.5" customHeight="1">
      <c r="A11" s="1"/>
      <c r="B11" s="1"/>
      <c r="C11" s="1"/>
      <c r="D11" s="1"/>
      <c r="E11" s="1"/>
      <c r="F11" s="16" t="s">
        <v>50</v>
      </c>
      <c r="G11" s="48">
        <v>3</v>
      </c>
      <c r="H11" s="20" t="str">
        <f>IF($H$1="m","m",IF($H$1="dm","dm",IF($H$1="cm","cm","mm")))</f>
        <v>cm</v>
      </c>
      <c r="J11" s="16" t="s">
        <v>32</v>
      </c>
      <c r="K11" s="34">
        <f>2*G11*G12/3</f>
        <v>4</v>
      </c>
      <c r="L11" s="20" t="str">
        <f>IF($H$1="m","m2",IF($H$1="dm","dm2",IF($H$1="cm","cm2","mm2")))</f>
        <v>cm2</v>
      </c>
      <c r="N11" s="49"/>
      <c r="S11" s="31"/>
    </row>
    <row r="12" spans="2:19" ht="22.5" customHeight="1">
      <c r="B12" s="31"/>
      <c r="C12" s="31"/>
      <c r="D12" s="31"/>
      <c r="E12" s="39"/>
      <c r="F12" s="16" t="s">
        <v>19</v>
      </c>
      <c r="G12" s="48">
        <v>2</v>
      </c>
      <c r="H12" s="20" t="str">
        <f>IF($H$1="m","m",IF($H$1="dm","dm",IF($H$1="cm","cm","mm")))</f>
        <v>cm</v>
      </c>
      <c r="I12" s="22"/>
      <c r="J12" s="18" t="s">
        <v>35</v>
      </c>
      <c r="K12" s="34">
        <f>8*G11^3*G12/175</f>
        <v>2.4685714285714284</v>
      </c>
      <c r="L12" s="20" t="str">
        <f>IF($H$1="m","m4",IF($H$1="dm","dm4",IF($H$1="cm","cm4","mm4")))</f>
        <v>cm4</v>
      </c>
      <c r="M12" s="37"/>
      <c r="N12" s="20"/>
      <c r="O12" s="22"/>
      <c r="P12" s="37"/>
      <c r="Q12" s="20"/>
      <c r="R12" s="31"/>
      <c r="S12" s="31"/>
    </row>
    <row r="13" spans="10:26" ht="22.5" customHeight="1">
      <c r="J13" s="16" t="s">
        <v>9</v>
      </c>
      <c r="K13" s="34">
        <f>2*G11/5</f>
        <v>1.2</v>
      </c>
      <c r="L13" s="20" t="str">
        <f>IF($H$1="m","m",IF($H$1="dm","dm",IF($H$1="cm","cm","mm")))</f>
        <v>cm</v>
      </c>
      <c r="N13" s="18" t="s">
        <v>26</v>
      </c>
      <c r="O13" s="34">
        <f>8*G11^2*G12</f>
        <v>144</v>
      </c>
      <c r="P13" s="20" t="str">
        <f>IF($H$1="m","m3",IF($H$1="dm","dm3",IF($H$1="cm","cm3","mm3")))</f>
        <v>cm3</v>
      </c>
      <c r="V13" s="37"/>
      <c r="Z13" s="20"/>
    </row>
    <row r="14" spans="6:32" ht="22.5" customHeight="1">
      <c r="F14" s="18" t="s">
        <v>37</v>
      </c>
      <c r="G14" s="34">
        <f>16*G11^3*G12/105</f>
        <v>8.228571428571428</v>
      </c>
      <c r="H14" s="20" t="str">
        <f>IF($H$1="m","m4",IF($H$1="dm","dm4",IF($H$1="cm","cm4","mm4")))</f>
        <v>cm4</v>
      </c>
      <c r="I14" s="49"/>
      <c r="J14" s="18" t="s">
        <v>36</v>
      </c>
      <c r="K14" s="34">
        <f>19*G11*G12^3/480</f>
        <v>0.95</v>
      </c>
      <c r="L14" s="20" t="str">
        <f>IF($H$1="m","m4",IF($H$1="dm","dm4",IF($H$1="cm","cm4","mm4")))</f>
        <v>cm4</v>
      </c>
      <c r="N14" s="49"/>
      <c r="O14" s="49"/>
      <c r="P14" s="50"/>
      <c r="Q14" s="49"/>
      <c r="V14" s="37"/>
      <c r="W14" s="20"/>
      <c r="Y14" s="37"/>
      <c r="Z14" s="20"/>
      <c r="AB14" s="37"/>
      <c r="AC14" s="20"/>
      <c r="AE14" s="37"/>
      <c r="AF14" s="20"/>
    </row>
    <row r="15" spans="6:29" ht="22.5" customHeight="1">
      <c r="F15" s="18" t="s">
        <v>70</v>
      </c>
      <c r="G15" s="34">
        <f>32*G11*G12^3/105</f>
        <v>7.314285714285714</v>
      </c>
      <c r="H15" s="20" t="str">
        <f>IF($H$1="m","m4",IF($H$1="dm","dm4",IF($H$1="cm","cm4","mm4")))</f>
        <v>cm4</v>
      </c>
      <c r="J15" s="16" t="s">
        <v>21</v>
      </c>
      <c r="K15" s="34">
        <f>3*G12/8</f>
        <v>0.75</v>
      </c>
      <c r="L15" s="20" t="str">
        <f>IF($H$1="m","m",IF($H$1="dm","dm",IF($H$1="cm","cm","mm")))</f>
        <v>cm</v>
      </c>
      <c r="N15" s="18" t="s">
        <v>34</v>
      </c>
      <c r="O15" s="34">
        <f>19*G11*G12^2/300</f>
        <v>0.76</v>
      </c>
      <c r="P15" s="20" t="str">
        <f>IF($H$1="m","m3",IF($H$1="dm","dm3",IF($H$1="cm","cm3","mm3")))</f>
        <v>cm3</v>
      </c>
      <c r="S15" s="29"/>
      <c r="T15" s="29"/>
      <c r="AB15" s="37"/>
      <c r="AC15" s="20"/>
    </row>
    <row r="16" spans="9:32" ht="22.5" customHeight="1">
      <c r="I16" s="1"/>
      <c r="J16" s="1"/>
      <c r="K16" s="1"/>
      <c r="L16" s="1"/>
      <c r="M16" s="1"/>
      <c r="N16" s="1"/>
      <c r="O16" s="1"/>
      <c r="P16" s="1"/>
      <c r="Q16" s="20"/>
      <c r="V16" s="37"/>
      <c r="W16" s="20"/>
      <c r="Y16" s="37"/>
      <c r="Z16" s="20"/>
      <c r="AB16" s="37"/>
      <c r="AC16" s="20"/>
      <c r="AE16" s="37"/>
      <c r="AF16" s="20"/>
    </row>
    <row r="17" spans="1:33" s="64" customFormat="1" ht="9.75" customHeight="1">
      <c r="A17" s="22"/>
      <c r="B17" s="56"/>
      <c r="C17" s="56"/>
      <c r="D17" s="56"/>
      <c r="E17" s="57"/>
      <c r="S17" s="31"/>
      <c r="T17" s="31"/>
      <c r="U17" s="31"/>
      <c r="V17" s="39"/>
      <c r="W17" s="32"/>
      <c r="Y17" s="70"/>
      <c r="Z17" s="71"/>
      <c r="AG17" s="31"/>
    </row>
    <row r="18" spans="1:32" s="31" customFormat="1" ht="9.75" customHeight="1">
      <c r="A18" s="22"/>
      <c r="B18" s="60"/>
      <c r="C18" s="60"/>
      <c r="D18" s="60"/>
      <c r="E18" s="61"/>
      <c r="F18" s="62"/>
      <c r="G18" s="60"/>
      <c r="H18" s="61"/>
      <c r="I18" s="62"/>
      <c r="J18" s="60"/>
      <c r="K18" s="61"/>
      <c r="L18" s="62"/>
      <c r="M18" s="60"/>
      <c r="N18" s="61"/>
      <c r="O18" s="62"/>
      <c r="P18" s="63"/>
      <c r="Q18" s="28"/>
      <c r="S18" s="1"/>
      <c r="T18" s="1"/>
      <c r="V18" s="39"/>
      <c r="W18" s="32"/>
      <c r="Y18" s="39"/>
      <c r="Z18" s="32"/>
      <c r="AB18" s="39"/>
      <c r="AC18" s="32"/>
      <c r="AE18" s="39"/>
      <c r="AF18" s="32"/>
    </row>
    <row r="19" spans="2:18" ht="22.5" customHeight="1">
      <c r="B19" s="1"/>
      <c r="C19" s="31"/>
      <c r="D19" s="31"/>
      <c r="E19" s="39"/>
      <c r="F19" s="71" t="str">
        <f>IF(Info!H10&gt;2.5,"Corner with half-parabola cut",IF(Info!H10&gt;1.5,"Ecke mit Halb-Parabelausschnitt",IF(Info!H10&gt;0.5,"Yarım parabol kesitli köşe")))</f>
        <v>Yarım parabol kesitli köşe</v>
      </c>
      <c r="G19" s="31"/>
      <c r="L19" s="22"/>
      <c r="M19" s="31"/>
      <c r="R19" s="1"/>
    </row>
    <row r="20" spans="2:14" ht="22.5" customHeight="1">
      <c r="B20" s="1"/>
      <c r="C20" s="1"/>
      <c r="F20" s="16" t="s">
        <v>66</v>
      </c>
      <c r="G20" s="48">
        <v>3</v>
      </c>
      <c r="H20" s="20" t="str">
        <f>IF($H$1="m","m",IF($H$1="dm","dm",IF($H$1="cm","cm","mm")))</f>
        <v>cm</v>
      </c>
      <c r="J20" s="16" t="s">
        <v>32</v>
      </c>
      <c r="K20" s="34">
        <f>G20*G21/3</f>
        <v>2</v>
      </c>
      <c r="L20" s="20" t="str">
        <f>IF($H$1="m","m2",IF($H$1="dm","dm2",IF($H$1="cm","cm2","mm2")))</f>
        <v>cm2</v>
      </c>
      <c r="N20" s="20"/>
    </row>
    <row r="21" spans="6:12" ht="22.5" customHeight="1">
      <c r="F21" s="16" t="s">
        <v>67</v>
      </c>
      <c r="G21" s="48">
        <v>2</v>
      </c>
      <c r="H21" s="20" t="str">
        <f>IF($H$1="m","m",IF($H$1="dm","dm",IF($H$1="cm","cm","mm")))</f>
        <v>cm</v>
      </c>
      <c r="J21" s="18" t="s">
        <v>35</v>
      </c>
      <c r="K21" s="34">
        <f>37*G20^3*G21/2100</f>
        <v>0.9514285714285714</v>
      </c>
      <c r="L21" s="20" t="str">
        <f>IF($H$1="m","m4",IF($H$1="dm","dm4",IF($H$1="cm","cm4","mm4")))</f>
        <v>cm4</v>
      </c>
    </row>
    <row r="22" spans="2:16" ht="22.5" customHeight="1">
      <c r="B22" s="29"/>
      <c r="C22" s="29"/>
      <c r="J22" s="16" t="s">
        <v>9</v>
      </c>
      <c r="K22" s="34">
        <f>0.7*G20</f>
        <v>2.0999999999999996</v>
      </c>
      <c r="L22" s="20" t="str">
        <f>IF($H$1="m","m",IF($H$1="dm","dm",IF($H$1="cm","cm","mm")))</f>
        <v>cm</v>
      </c>
      <c r="N22" s="18" t="s">
        <v>26</v>
      </c>
      <c r="O22" s="34">
        <f>37*G20^2*G21/1470</f>
        <v>0.4530612244897959</v>
      </c>
      <c r="P22" s="20" t="str">
        <f>IF($H$1="m","m3",IF($H$1="dm","dm3",IF($H$1="cm","cm3","mm3")))</f>
        <v>cm3</v>
      </c>
    </row>
    <row r="23" spans="6:17" ht="22.5" customHeight="1">
      <c r="F23" s="18" t="s">
        <v>37</v>
      </c>
      <c r="G23" s="34">
        <f>19*G20^3*G21/105</f>
        <v>9.771428571428572</v>
      </c>
      <c r="H23" s="20" t="str">
        <f>IF($H$1="m","m4",IF($H$1="dm","dm4",IF($H$1="cm","cm4","mm4")))</f>
        <v>cm4</v>
      </c>
      <c r="I23" s="1"/>
      <c r="J23" s="18" t="s">
        <v>36</v>
      </c>
      <c r="K23" s="34">
        <f>G20*G21^3/80</f>
        <v>0.3</v>
      </c>
      <c r="L23" s="20" t="str">
        <f>IF($H$1="m","m4",IF($H$1="dm","dm4",IF($H$1="cm","cm4","mm4")))</f>
        <v>cm4</v>
      </c>
      <c r="N23" s="1"/>
      <c r="O23" s="1"/>
      <c r="P23" s="1"/>
      <c r="Q23" s="20"/>
    </row>
    <row r="24" spans="6:16" ht="22.5" customHeight="1">
      <c r="F24" s="18" t="s">
        <v>70</v>
      </c>
      <c r="G24" s="34">
        <f>G20*G21^3/5</f>
        <v>4.8</v>
      </c>
      <c r="H24" s="20" t="str">
        <f>IF($H$1="m","m4",IF($H$1="dm","dm4",IF($H$1="cm","cm4","mm4")))</f>
        <v>cm4</v>
      </c>
      <c r="I24" s="1"/>
      <c r="J24" s="16" t="s">
        <v>21</v>
      </c>
      <c r="K24" s="34">
        <f>0.75*G21</f>
        <v>1.5</v>
      </c>
      <c r="L24" s="20" t="str">
        <f>IF($H$1="m","m",IF($H$1="dm","dm",IF($H$1="cm","cm","mm")))</f>
        <v>cm</v>
      </c>
      <c r="M24" s="1"/>
      <c r="N24" s="18" t="s">
        <v>34</v>
      </c>
      <c r="O24" s="34">
        <f>G20*G21^2/60</f>
        <v>0.2</v>
      </c>
      <c r="P24" s="20" t="str">
        <f>IF($H$1="m","m3",IF($H$1="dm","dm3",IF($H$1="cm","cm3","mm3")))</f>
        <v>cm3</v>
      </c>
    </row>
    <row r="25" spans="1:16" ht="22.5" customHeight="1">
      <c r="A25" s="31"/>
      <c r="B25" s="31"/>
      <c r="C25" s="31"/>
      <c r="D25" s="31"/>
      <c r="E25" s="39"/>
      <c r="F25" s="1"/>
      <c r="G25" s="1"/>
      <c r="H25" s="1"/>
      <c r="I25" s="1"/>
      <c r="J25" s="1"/>
      <c r="K25" s="1"/>
      <c r="L25" s="1"/>
      <c r="M25" s="1"/>
      <c r="N25" s="1"/>
      <c r="O25" s="1"/>
      <c r="P25" s="1"/>
    </row>
    <row r="26" spans="1:18" ht="22.5" customHeight="1">
      <c r="A26" s="31"/>
      <c r="B26" s="31"/>
      <c r="C26" s="31"/>
      <c r="D26" s="31"/>
      <c r="E26" s="39"/>
      <c r="I26" s="32"/>
      <c r="M26" s="31"/>
      <c r="Q26" s="31"/>
      <c r="R26" s="31"/>
    </row>
    <row r="27" ht="22.5" customHeight="1"/>
    <row r="28" ht="22.5" customHeight="1"/>
    <row r="29" ht="22.5" customHeight="1"/>
    <row r="30" ht="22.5" customHeight="1"/>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5:L6 L13 L22 L14:L21 L23" formula="1"/>
  </ignoredErrors>
  <legacyDrawing r:id="rId4"/>
  <oleObjects>
    <oleObject progId="AutoCAD.Drawing.15" shapeId="1613048" r:id="rId1"/>
    <oleObject progId="AutoCAD.Drawing.15" shapeId="1695433" r:id="rId2"/>
    <oleObject progId="AutoCAD.Drawing.15" shapeId="1706936" r:id="rId3"/>
  </oleObjects>
</worksheet>
</file>

<file path=xl/worksheets/sheet12.xml><?xml version="1.0" encoding="utf-8"?>
<worksheet xmlns="http://schemas.openxmlformats.org/spreadsheetml/2006/main" xmlns:r="http://schemas.openxmlformats.org/officeDocument/2006/relationships">
  <dimension ref="A1:AG30"/>
  <sheetViews>
    <sheetView showGridLines="0" showRowColHeaders="0" zoomScale="80" zoomScaleNormal="80" workbookViewId="0" topLeftCell="A1">
      <selection activeCell="M4" sqref="M4"/>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2:12" ht="22.5" customHeight="1">
      <c r="B1" s="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IF(Info!H10&gt;2.5,"Corner with parabola cut",IF(Info!H10&gt;1.5,"Ecke mit Parabelausschnitt",IF(Info!H10&gt;0.5,"Tam parabol kesitli köşe")))</f>
        <v>Tam parabol kesitli köşe</v>
      </c>
      <c r="J2" s="16"/>
      <c r="K2" s="1"/>
    </row>
    <row r="3" spans="6:30" ht="22.5" customHeight="1">
      <c r="F3" s="16" t="s">
        <v>50</v>
      </c>
      <c r="G3" s="48">
        <v>3</v>
      </c>
      <c r="H3" s="20" t="str">
        <f>IF($H$1="m","m",IF($H$1="dm","dm",IF($H$1="cm","cm","mm")))</f>
        <v>cm</v>
      </c>
      <c r="J3" s="16" t="s">
        <v>32</v>
      </c>
      <c r="K3" s="34">
        <f>G3^2/6</f>
        <v>1.5</v>
      </c>
      <c r="L3" s="20" t="str">
        <f>IF($H$1="m","m2",IF($H$1="dm","dm2",IF($H$1="cm","cm2","mm2")))</f>
        <v>cm2</v>
      </c>
      <c r="S3" s="24"/>
      <c r="T3" s="37"/>
      <c r="U3" s="20"/>
      <c r="W3" s="37"/>
      <c r="X3" s="20"/>
      <c r="Z3" s="37"/>
      <c r="AA3" s="20"/>
      <c r="AC3" s="37"/>
      <c r="AD3" s="20"/>
    </row>
    <row r="4" spans="6:12" ht="22.5" customHeight="1">
      <c r="F4" s="16" t="s">
        <v>19</v>
      </c>
      <c r="G4" s="34">
        <f>G5/2</f>
        <v>1.0606601717798214</v>
      </c>
      <c r="H4" s="20" t="str">
        <f>IF($H$1="m","m",IF($H$1="dm","dm",IF($H$1="cm","cm","mm")))</f>
        <v>cm</v>
      </c>
      <c r="J4" s="18" t="s">
        <v>58</v>
      </c>
      <c r="K4" s="34">
        <f>11*G3^4/2100</f>
        <v>0.42428571428571427</v>
      </c>
      <c r="L4" s="20" t="str">
        <f>IF($H$1="m","m4",IF($H$1="dm","dm4",IF($H$1="cm","cm4","mm4")))</f>
        <v>cm4</v>
      </c>
    </row>
    <row r="5" spans="6:30" ht="22.5" customHeight="1">
      <c r="F5" s="16" t="s">
        <v>77</v>
      </c>
      <c r="G5" s="34">
        <f>G3*(2)^0.5/2</f>
        <v>2.121320343559643</v>
      </c>
      <c r="H5" s="20" t="str">
        <f>IF($H$1="m","m",IF($H$1="dm","dm",IF($H$1="cm","cm","mm")))</f>
        <v>cm</v>
      </c>
      <c r="I5" s="1"/>
      <c r="J5" s="16" t="s">
        <v>29</v>
      </c>
      <c r="K5" s="34">
        <f>0.8*G3</f>
        <v>2.4000000000000004</v>
      </c>
      <c r="L5" s="20" t="str">
        <f>IF($H$1="m","m",IF($H$1="dm","dm",IF($H$1="cm","cm","mm")))</f>
        <v>cm</v>
      </c>
      <c r="M5" s="1"/>
      <c r="N5" s="18" t="s">
        <v>26</v>
      </c>
      <c r="O5" s="34">
        <f>11*G3^3/1680</f>
        <v>0.1767857142857143</v>
      </c>
      <c r="P5" s="20" t="str">
        <f>IF($H$1="m","m3",IF($H$1="dm","dm3",IF($H$1="cm","cm3","mm3")))</f>
        <v>cm3</v>
      </c>
      <c r="Q5" s="1"/>
      <c r="S5" s="25"/>
      <c r="T5" s="38"/>
      <c r="U5" s="26"/>
      <c r="V5" s="25"/>
      <c r="W5" s="38"/>
      <c r="X5" s="26"/>
      <c r="Y5" s="25"/>
      <c r="Z5" s="38"/>
      <c r="AA5" s="26"/>
      <c r="AB5" s="25"/>
      <c r="AC5" s="38"/>
      <c r="AD5" s="26"/>
    </row>
    <row r="6" spans="6:24" s="25" customFormat="1" ht="22.5" customHeight="1">
      <c r="F6" s="1"/>
      <c r="G6" s="1"/>
      <c r="H6" s="1"/>
      <c r="I6" s="1"/>
      <c r="J6" s="18" t="s">
        <v>59</v>
      </c>
      <c r="K6" s="34">
        <f>47*G3^4/420</f>
        <v>9.064285714285715</v>
      </c>
      <c r="L6" s="20" t="str">
        <f>IF($H$1="m","m4",IF($H$1="dm","dm4",IF($H$1="cm","cm4","mm4")))</f>
        <v>cm4</v>
      </c>
      <c r="M6" s="1"/>
      <c r="N6" s="1"/>
      <c r="O6" s="1"/>
      <c r="P6" s="1"/>
      <c r="Q6" s="1"/>
      <c r="S6" s="31"/>
      <c r="T6" s="1"/>
      <c r="U6" s="32"/>
      <c r="V6" s="31"/>
      <c r="W6" s="39"/>
      <c r="X6" s="32"/>
    </row>
    <row r="7" spans="6:17" ht="22.5" customHeight="1">
      <c r="F7" s="1"/>
      <c r="G7" s="1"/>
      <c r="H7" s="1"/>
      <c r="I7" s="1"/>
      <c r="J7" s="1"/>
      <c r="K7" s="1"/>
      <c r="L7" s="1"/>
      <c r="M7" s="1"/>
      <c r="N7" s="1"/>
      <c r="O7" s="1"/>
      <c r="P7" s="1"/>
      <c r="Q7" s="1"/>
    </row>
    <row r="8" spans="2:11" ht="9.75" customHeight="1">
      <c r="B8" s="56"/>
      <c r="C8" s="56"/>
      <c r="D8" s="56"/>
      <c r="E8" s="57"/>
      <c r="F8" s="49"/>
      <c r="G8" s="50"/>
      <c r="H8" s="49"/>
      <c r="I8" s="49"/>
      <c r="J8" s="50"/>
      <c r="K8" s="49"/>
    </row>
    <row r="9" spans="2:29" ht="9.75" customHeight="1">
      <c r="B9" s="60"/>
      <c r="C9" s="60"/>
      <c r="D9" s="60"/>
      <c r="E9" s="61"/>
      <c r="F9" s="62"/>
      <c r="G9" s="60"/>
      <c r="H9" s="61"/>
      <c r="I9" s="62"/>
      <c r="J9" s="60"/>
      <c r="K9" s="61"/>
      <c r="L9" s="62"/>
      <c r="M9" s="60"/>
      <c r="N9" s="61"/>
      <c r="O9" s="62"/>
      <c r="P9" s="63"/>
      <c r="Q9" s="28"/>
      <c r="R9" s="16"/>
      <c r="S9" s="37"/>
      <c r="T9" s="20"/>
      <c r="V9" s="37"/>
      <c r="W9" s="20"/>
      <c r="Y9" s="37"/>
      <c r="Z9" s="20"/>
      <c r="AB9" s="37"/>
      <c r="AC9" s="20"/>
    </row>
    <row r="10" spans="2:16" ht="22.5" customHeight="1">
      <c r="B10" s="1"/>
      <c r="F10" s="30" t="str">
        <f>IF(Info!H10&gt;2.5,"Square form",IF(Info!H10&gt;1.5,"Vierkantprofil",IF(Info!H10&gt;0.5,"Dörtköşe profil")))</f>
        <v>Dörtköşe profil</v>
      </c>
      <c r="J10" s="1"/>
      <c r="L10" s="1"/>
      <c r="M10" s="1"/>
      <c r="N10" s="1"/>
      <c r="P10" s="1"/>
    </row>
    <row r="11" spans="1:19" ht="22.5" customHeight="1">
      <c r="A11" s="1"/>
      <c r="B11" s="1"/>
      <c r="C11" s="1"/>
      <c r="D11" s="1"/>
      <c r="E11" s="1"/>
      <c r="F11" s="1"/>
      <c r="G11" s="1"/>
      <c r="H11" s="1"/>
      <c r="I11" s="1"/>
      <c r="J11" s="16" t="s">
        <v>78</v>
      </c>
      <c r="K11" s="48">
        <v>10</v>
      </c>
      <c r="L11" s="20" t="str">
        <f>IF($H$1="m","m",IF($H$1="dm","dm",IF($H$1="cm","cm","mm")))</f>
        <v>cm</v>
      </c>
      <c r="M11" s="1"/>
      <c r="N11" s="16" t="s">
        <v>32</v>
      </c>
      <c r="O11" s="34">
        <f>K11*K13-K12*K14</f>
        <v>28</v>
      </c>
      <c r="P11" s="20" t="str">
        <f>IF($H$1="m","m2",IF($H$1="dm","dm2",IF($H$1="cm","cm2","mm2")))</f>
        <v>cm2</v>
      </c>
      <c r="Q11" s="1"/>
      <c r="S11" s="31"/>
    </row>
    <row r="12" spans="2:19" ht="22.5" customHeight="1">
      <c r="B12" s="31"/>
      <c r="C12" s="31"/>
      <c r="D12" s="31"/>
      <c r="E12" s="39"/>
      <c r="F12" s="1"/>
      <c r="G12" s="1"/>
      <c r="H12" s="1"/>
      <c r="J12" s="16" t="s">
        <v>19</v>
      </c>
      <c r="K12" s="48">
        <v>8</v>
      </c>
      <c r="L12" s="20" t="str">
        <f>IF($H$1="m","m",IF($H$1="dm","dm",IF($H$1="cm","cm","mm")))</f>
        <v>cm</v>
      </c>
      <c r="N12" s="18" t="s">
        <v>53</v>
      </c>
      <c r="O12" s="34">
        <f>(K11*K13^3-K12*K14^3)/12</f>
        <v>137.33333333333334</v>
      </c>
      <c r="P12" s="20" t="str">
        <f>IF($H$1="m","m4",IF($H$1="dm","dm4",IF($H$1="cm","cm4","mm4")))</f>
        <v>cm4</v>
      </c>
      <c r="Q12" s="20"/>
      <c r="R12" s="31"/>
      <c r="S12" s="31"/>
    </row>
    <row r="13" spans="6:26" ht="22.5" customHeight="1">
      <c r="F13" s="1"/>
      <c r="G13" s="1"/>
      <c r="J13" s="16" t="s">
        <v>40</v>
      </c>
      <c r="K13" s="48">
        <v>6</v>
      </c>
      <c r="L13" s="20" t="str">
        <f>IF($H$1="m","m",IF($H$1="dm","dm",IF($H$1="cm","cm","mm")))</f>
        <v>cm</v>
      </c>
      <c r="N13" s="18" t="s">
        <v>54</v>
      </c>
      <c r="O13" s="34">
        <f>(K11*K13^3-K12*K14^3)/6/K13</f>
        <v>45.77777777777778</v>
      </c>
      <c r="P13" s="20" t="str">
        <f>IF($H$1="m","m3",IF($H$1="dm","dm3",IF($H$1="cm","cm3","mm3")))</f>
        <v>cm3</v>
      </c>
      <c r="V13" s="37"/>
      <c r="Z13" s="20"/>
    </row>
    <row r="14" spans="8:32" ht="22.5" customHeight="1">
      <c r="H14" s="1"/>
      <c r="I14" s="1"/>
      <c r="J14" s="16" t="s">
        <v>24</v>
      </c>
      <c r="K14" s="48">
        <v>4</v>
      </c>
      <c r="L14" s="20" t="s">
        <v>3</v>
      </c>
      <c r="M14" s="1"/>
      <c r="N14" s="1"/>
      <c r="O14" s="1"/>
      <c r="P14" s="1"/>
      <c r="Q14" s="49"/>
      <c r="V14" s="37"/>
      <c r="W14" s="20"/>
      <c r="Y14" s="37"/>
      <c r="Z14" s="20"/>
      <c r="AB14" s="37"/>
      <c r="AC14" s="20"/>
      <c r="AE14" s="37"/>
      <c r="AF14" s="20"/>
    </row>
    <row r="15" spans="6:29" ht="22.5" customHeight="1">
      <c r="F15" s="1"/>
      <c r="G15" s="1"/>
      <c r="H15" s="1"/>
      <c r="I15" s="1"/>
      <c r="J15" s="1"/>
      <c r="K15" s="1"/>
      <c r="L15" s="1"/>
      <c r="P15" s="1"/>
      <c r="S15" s="29"/>
      <c r="T15" s="29"/>
      <c r="AB15" s="37"/>
      <c r="AC15" s="20"/>
    </row>
    <row r="16" spans="2:32" ht="22.5" customHeight="1">
      <c r="B16" s="28" t="str">
        <f>IF(Info!H10&gt;2.5,"The formulas are for b=b1+b2  and B=B1+B2  and e2=H-e1 available.",IF(Info!H10&gt;1.5,"Die Formeln sind für b=b1+b2  und B=B1+B2  und e2=H-e1 gültig.",IF(Info!H10&gt;0.5,"Formüller b=b1+b2  ve B=B1+B2  ve e2=H-e1 için geçerlidir.")))</f>
        <v>Formüller b=b1+b2  ve B=B1+B2  ve e2=H-e1 için geçerlidir.</v>
      </c>
      <c r="K16" s="1"/>
      <c r="L16" s="1"/>
      <c r="M16" s="1"/>
      <c r="N16" s="1"/>
      <c r="O16" s="1"/>
      <c r="P16" s="1"/>
      <c r="Q16" s="20"/>
      <c r="V16" s="37"/>
      <c r="W16" s="20"/>
      <c r="Y16" s="37"/>
      <c r="Z16" s="20"/>
      <c r="AB16" s="37"/>
      <c r="AC16" s="20"/>
      <c r="AE16" s="37"/>
      <c r="AF16" s="20"/>
    </row>
    <row r="17" spans="1:33" s="64" customFormat="1" ht="9.75" customHeight="1">
      <c r="A17" s="22"/>
      <c r="B17" s="56"/>
      <c r="C17" s="56"/>
      <c r="D17" s="56"/>
      <c r="E17" s="57"/>
      <c r="S17" s="31"/>
      <c r="T17" s="31"/>
      <c r="U17" s="31"/>
      <c r="V17" s="39"/>
      <c r="W17" s="32"/>
      <c r="Y17" s="70"/>
      <c r="Z17" s="71"/>
      <c r="AG17" s="31"/>
    </row>
    <row r="18" spans="1:32" s="31" customFormat="1" ht="9.75" customHeight="1">
      <c r="A18" s="22"/>
      <c r="B18" s="60"/>
      <c r="C18" s="60"/>
      <c r="D18" s="60"/>
      <c r="E18" s="61"/>
      <c r="F18" s="62"/>
      <c r="G18" s="60"/>
      <c r="H18" s="61"/>
      <c r="I18" s="62"/>
      <c r="J18" s="60"/>
      <c r="K18" s="61"/>
      <c r="L18" s="62"/>
      <c r="M18" s="60"/>
      <c r="N18" s="61"/>
      <c r="O18" s="62"/>
      <c r="P18" s="63"/>
      <c r="Q18" s="28"/>
      <c r="S18" s="1"/>
      <c r="T18" s="1"/>
      <c r="V18" s="39"/>
      <c r="W18" s="32"/>
      <c r="Y18" s="39"/>
      <c r="Z18" s="32"/>
      <c r="AB18" s="39"/>
      <c r="AC18" s="32"/>
      <c r="AE18" s="39"/>
      <c r="AF18" s="32"/>
    </row>
    <row r="19" spans="2:18" ht="22.5" customHeight="1">
      <c r="B19" s="1"/>
      <c r="C19" s="31"/>
      <c r="D19" s="31"/>
      <c r="E19" s="39"/>
      <c r="F19" s="71" t="str">
        <f>IF(Info!H10&gt;2.5,"Square form",IF(Info!H10&gt;1.5,"Vierkantprofil",IF(Info!H10&gt;0.5,"Dörtköşe profil")))</f>
        <v>Dörtköşe profil</v>
      </c>
      <c r="G19" s="31"/>
      <c r="L19" s="22"/>
      <c r="M19" s="31"/>
      <c r="R19" s="1"/>
    </row>
    <row r="20" spans="2:16" ht="22.5" customHeight="1">
      <c r="B20" s="1"/>
      <c r="C20" s="1"/>
      <c r="F20" s="1"/>
      <c r="G20" s="1"/>
      <c r="H20" s="1"/>
      <c r="I20" s="1"/>
      <c r="J20" s="16" t="s">
        <v>78</v>
      </c>
      <c r="K20" s="48">
        <v>2</v>
      </c>
      <c r="L20" s="20" t="str">
        <f>IF($H$1="m","m",IF($H$1="dm","dm",IF($H$1="cm","cm","mm")))</f>
        <v>cm</v>
      </c>
      <c r="M20" s="1"/>
      <c r="N20" s="16" t="s">
        <v>32</v>
      </c>
      <c r="O20" s="34">
        <f>K20*K22+K21*K23</f>
        <v>28</v>
      </c>
      <c r="P20" s="20" t="str">
        <f>IF($H$1="m","m2",IF($H$1="dm","dm2",IF($H$1="cm","cm2","mm2")))</f>
        <v>cm2</v>
      </c>
    </row>
    <row r="21" spans="2:16" ht="22.5" customHeight="1">
      <c r="B21" s="1"/>
      <c r="F21" s="1"/>
      <c r="G21" s="1"/>
      <c r="H21" s="1"/>
      <c r="I21" s="1"/>
      <c r="J21" s="16" t="s">
        <v>19</v>
      </c>
      <c r="K21" s="48">
        <v>8</v>
      </c>
      <c r="L21" s="20" t="str">
        <f>IF($H$1="m","m",IF($H$1="dm","dm",IF($H$1="cm","cm","mm")))</f>
        <v>cm</v>
      </c>
      <c r="M21" s="1"/>
      <c r="N21" s="18" t="s">
        <v>53</v>
      </c>
      <c r="O21" s="34">
        <f>(K20*K22^3+K21*K23^3)/12</f>
        <v>41.333333333333336</v>
      </c>
      <c r="P21" s="20" t="str">
        <f>IF($H$1="m","m4",IF($H$1="dm","dm4",IF($H$1="cm","cm4","mm4")))</f>
        <v>cm4</v>
      </c>
    </row>
    <row r="22" spans="2:16" ht="22.5" customHeight="1">
      <c r="B22" s="29"/>
      <c r="J22" s="16" t="s">
        <v>40</v>
      </c>
      <c r="K22" s="48">
        <v>6</v>
      </c>
      <c r="L22" s="20" t="str">
        <f>IF($H$1="m","m",IF($H$1="dm","dm",IF($H$1="cm","cm","mm")))</f>
        <v>cm</v>
      </c>
      <c r="N22" s="18" t="s">
        <v>54</v>
      </c>
      <c r="O22" s="34">
        <f>(K20*K22^3+K21*K23^3)/6/K22</f>
        <v>13.777777777777779</v>
      </c>
      <c r="P22" s="20" t="str">
        <f>IF($H$1="m","m3",IF($H$1="dm","dm3",IF($H$1="cm","cm3","mm3")))</f>
        <v>cm3</v>
      </c>
    </row>
    <row r="23" spans="9:17" ht="22.5" customHeight="1">
      <c r="I23" s="29"/>
      <c r="J23" s="16" t="s">
        <v>24</v>
      </c>
      <c r="K23" s="48">
        <v>2</v>
      </c>
      <c r="L23" s="20" t="str">
        <f>IF($H$1="m","m",IF($H$1="dm","dm",IF($H$1="cm","cm","mm")))</f>
        <v>cm</v>
      </c>
      <c r="O23" s="1"/>
      <c r="P23" s="1"/>
      <c r="Q23" s="20"/>
    </row>
    <row r="24" spans="6:16" ht="22.5" customHeight="1">
      <c r="F24" s="1"/>
      <c r="G24" s="1"/>
      <c r="H24" s="1"/>
      <c r="I24" s="1"/>
      <c r="J24" s="1"/>
      <c r="K24" s="1"/>
      <c r="L24" s="1"/>
      <c r="M24" s="1"/>
      <c r="N24" s="1"/>
      <c r="O24" s="1"/>
      <c r="P24" s="1"/>
    </row>
    <row r="25" spans="1:16" ht="22.5" customHeight="1">
      <c r="A25" s="31"/>
      <c r="B25" s="64" t="str">
        <f>IF(Info!H10&gt;2.5,"The formulas are for b=b1+b2  and B=B1+B2  and e2=H-e1 available.",IF(Info!H10&gt;1.5,"Die Formeln sind für b=b1+b2  und B=B1+B2  und e2=H-e1 gültig.",IF(Info!H10&gt;0.5,"Formüller b=b1+b2  ve B=B1+B2  ve e2=H-e1 için geçerlidir.")))</f>
        <v>Formüller b=b1+b2  ve B=B1+B2  ve e2=H-e1 için geçerlidir.</v>
      </c>
      <c r="C25" s="31"/>
      <c r="D25" s="31"/>
      <c r="E25" s="39"/>
      <c r="F25" s="1"/>
      <c r="G25" s="1"/>
      <c r="H25" s="1"/>
      <c r="I25" s="1"/>
      <c r="J25" s="1"/>
      <c r="K25" s="1"/>
      <c r="L25" s="1"/>
      <c r="M25" s="1"/>
      <c r="N25" s="1"/>
      <c r="O25" s="1"/>
      <c r="P25" s="1"/>
    </row>
    <row r="26" spans="1:18" ht="22.5" customHeight="1">
      <c r="A26" s="31"/>
      <c r="B26" s="31"/>
      <c r="C26" s="31"/>
      <c r="D26" s="31"/>
      <c r="E26" s="39"/>
      <c r="I26" s="32"/>
      <c r="M26" s="31"/>
      <c r="Q26" s="31"/>
      <c r="R26" s="31"/>
    </row>
    <row r="27" ht="22.5" customHeight="1"/>
    <row r="28" ht="22.5" customHeight="1"/>
    <row r="29" ht="22.5" customHeight="1"/>
    <row r="30" spans="12:14" ht="22.5" customHeight="1">
      <c r="L30" s="22"/>
      <c r="M30" s="37"/>
      <c r="N30" s="20"/>
    </row>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5" formula="1"/>
  </ignoredErrors>
  <legacyDrawing r:id="rId4"/>
  <oleObjects>
    <oleObject progId="AutoCAD.Drawing.15" shapeId="1721120" r:id="rId1"/>
    <oleObject progId="AutoCAD.Drawing.15" shapeId="2101062" r:id="rId2"/>
    <oleObject progId="AutoCAD.Drawing.15" shapeId="2131552" r:id="rId3"/>
  </oleObjects>
</worksheet>
</file>

<file path=xl/worksheets/sheet13.xml><?xml version="1.0" encoding="utf-8"?>
<worksheet xmlns="http://schemas.openxmlformats.org/spreadsheetml/2006/main" xmlns:r="http://schemas.openxmlformats.org/officeDocument/2006/relationships">
  <dimension ref="A1:AG30"/>
  <sheetViews>
    <sheetView showGridLines="0" showRowColHeaders="0" zoomScale="80" zoomScaleNormal="80" workbookViewId="0" topLeftCell="A1">
      <selection activeCell="O18" sqref="O18"/>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2:12" ht="22.5" customHeight="1">
      <c r="B1" s="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IF(Info!H10&gt;2.5,"Square form",IF(Info!H10&gt;1.5,"Vierkantprofil",IF(Info!H10&gt;0.5,"Dörtköşe profil")))</f>
        <v>Dörtköşe profil</v>
      </c>
      <c r="J2" s="16"/>
      <c r="K2" s="1"/>
    </row>
    <row r="3" spans="2:30" ht="22.5" customHeight="1">
      <c r="B3" s="1"/>
      <c r="F3" s="1"/>
      <c r="G3" s="1"/>
      <c r="H3" s="1"/>
      <c r="I3" s="1"/>
      <c r="J3" s="1"/>
      <c r="K3" s="84" t="str">
        <f>IF(Info!H10&gt;2.5,"The formulas are for b=b1+b2  and B=B1+B2  and e2=H-e1 available.",IF(Info!H10&gt;1.5,"Die Formeln sind für b=b1+b2  und B=B1+B2  und e2=H-e1 gültig.",IF(Info!H10&gt;0.5,"Formüller b=b1+b2  ve B=B1+B2  ve e2=H-e1 için geçerlidir.")))</f>
        <v>Formüller b=b1+b2  ve B=B1+B2  ve e2=H-e1 için geçerlidir.</v>
      </c>
      <c r="L3" s="84"/>
      <c r="M3" s="84"/>
      <c r="N3" s="84"/>
      <c r="O3" s="84"/>
      <c r="P3" s="84"/>
      <c r="S3" s="24"/>
      <c r="T3" s="37"/>
      <c r="U3" s="20"/>
      <c r="W3" s="37"/>
      <c r="X3" s="20"/>
      <c r="Z3" s="37"/>
      <c r="AA3" s="20"/>
      <c r="AC3" s="37"/>
      <c r="AD3" s="20"/>
    </row>
    <row r="4" spans="6:16" ht="22.5" customHeight="1">
      <c r="F4" s="1"/>
      <c r="G4" s="1"/>
      <c r="H4" s="1"/>
      <c r="I4" s="1"/>
      <c r="J4" s="1"/>
      <c r="K4" s="84"/>
      <c r="L4" s="84"/>
      <c r="M4" s="84"/>
      <c r="N4" s="84"/>
      <c r="O4" s="84"/>
      <c r="P4" s="84"/>
    </row>
    <row r="5" spans="6:30" ht="22.5" customHeight="1">
      <c r="F5" s="1"/>
      <c r="G5" s="1"/>
      <c r="H5" s="1"/>
      <c r="I5" s="1"/>
      <c r="J5" s="1"/>
      <c r="K5" s="1"/>
      <c r="L5" s="1"/>
      <c r="M5" s="1"/>
      <c r="N5" s="1"/>
      <c r="O5" s="1"/>
      <c r="P5" s="1"/>
      <c r="Q5" s="1"/>
      <c r="S5" s="25"/>
      <c r="T5" s="38"/>
      <c r="U5" s="26"/>
      <c r="V5" s="25"/>
      <c r="W5" s="38"/>
      <c r="X5" s="26"/>
      <c r="Y5" s="25"/>
      <c r="Z5" s="38"/>
      <c r="AA5" s="26"/>
      <c r="AB5" s="25"/>
      <c r="AC5" s="38"/>
      <c r="AD5" s="26"/>
    </row>
    <row r="6" spans="6:24" s="25" customFormat="1" ht="22.5" customHeight="1">
      <c r="F6" s="1"/>
      <c r="G6" s="1"/>
      <c r="H6" s="1"/>
      <c r="I6" s="1"/>
      <c r="J6" s="1"/>
      <c r="K6" s="1"/>
      <c r="L6" s="1"/>
      <c r="M6" s="1"/>
      <c r="N6" s="1"/>
      <c r="O6" s="1"/>
      <c r="P6" s="1"/>
      <c r="Q6" s="1"/>
      <c r="S6" s="31"/>
      <c r="T6" s="1"/>
      <c r="U6" s="32"/>
      <c r="V6" s="31"/>
      <c r="W6" s="39"/>
      <c r="X6" s="32"/>
    </row>
    <row r="7" spans="6:17" ht="22.5" customHeight="1">
      <c r="F7" s="1"/>
      <c r="G7" s="1"/>
      <c r="H7" s="1"/>
      <c r="I7" s="1"/>
      <c r="J7" s="1"/>
      <c r="K7" s="1"/>
      <c r="L7" s="1"/>
      <c r="M7" s="1"/>
      <c r="N7" s="1"/>
      <c r="O7" s="1"/>
      <c r="P7" s="1"/>
      <c r="Q7" s="1"/>
    </row>
    <row r="8" spans="6:12" ht="22.5" customHeight="1">
      <c r="F8" s="16" t="s">
        <v>78</v>
      </c>
      <c r="G8" s="48">
        <v>2</v>
      </c>
      <c r="H8" s="20" t="str">
        <f>IF($H$1="m","m",IF($H$1="dm","dm",IF($H$1="cm","cm","mm")))</f>
        <v>cm</v>
      </c>
      <c r="J8" s="16" t="s">
        <v>32</v>
      </c>
      <c r="K8" s="34">
        <f>G8*G10+G9*G11</f>
        <v>28</v>
      </c>
      <c r="L8" s="20" t="str">
        <f>IF($H$1="m","m2",IF($H$1="dm","dm2",IF($H$1="cm","cm2","mm2")))</f>
        <v>cm2</v>
      </c>
    </row>
    <row r="9" spans="6:29" ht="22.5" customHeight="1">
      <c r="F9" s="16" t="s">
        <v>19</v>
      </c>
      <c r="G9" s="48">
        <v>8</v>
      </c>
      <c r="H9" s="20" t="str">
        <f>IF($H$1="m","m",IF($H$1="dm","dm",IF($H$1="cm","cm","mm")))</f>
        <v>cm</v>
      </c>
      <c r="J9" s="18" t="s">
        <v>53</v>
      </c>
      <c r="K9" s="34">
        <f>((G8*G10^3+G9*G11^3)/3-((G8*G10+G9*G11)*K10^2))</f>
        <v>68.76190476190477</v>
      </c>
      <c r="L9" s="20" t="str">
        <f>IF($H$1="m","m4",IF($H$1="dm","dm4",IF($H$1="cm","cm4","mm4")))</f>
        <v>cm4</v>
      </c>
      <c r="Q9" s="28"/>
      <c r="R9" s="16"/>
      <c r="S9" s="37"/>
      <c r="T9" s="20"/>
      <c r="V9" s="37"/>
      <c r="W9" s="20"/>
      <c r="Y9" s="37"/>
      <c r="Z9" s="20"/>
      <c r="AB9" s="37"/>
      <c r="AC9" s="20"/>
    </row>
    <row r="10" spans="6:17" ht="22.5" customHeight="1">
      <c r="F10" s="16" t="s">
        <v>40</v>
      </c>
      <c r="G10" s="48">
        <v>6</v>
      </c>
      <c r="H10" s="20" t="str">
        <f>IF($H$1="m","m",IF($H$1="dm","dm",IF($H$1="cm","cm","mm")))</f>
        <v>cm</v>
      </c>
      <c r="J10" s="16" t="s">
        <v>11</v>
      </c>
      <c r="K10" s="34">
        <f>((G8*G10^2+G9*G11^2)/2/(G8*G10+G9*G11))</f>
        <v>1.8571428571428572</v>
      </c>
      <c r="L10" s="20" t="str">
        <f>IF($H$1="m","m",IF($H$1="dm","dm",IF($H$1="cm","cm","mm")))</f>
        <v>cm</v>
      </c>
      <c r="Q10" s="1"/>
    </row>
    <row r="11" spans="1:19" ht="22.5" customHeight="1">
      <c r="A11" s="1"/>
      <c r="F11" s="16" t="s">
        <v>24</v>
      </c>
      <c r="G11" s="48">
        <v>2</v>
      </c>
      <c r="H11" s="20" t="str">
        <f>IF($H$1="m","m",IF($H$1="dm","dm",IF($H$1="cm","cm","mm")))</f>
        <v>cm</v>
      </c>
      <c r="J11" s="18" t="s">
        <v>54</v>
      </c>
      <c r="K11" s="34">
        <f>K9/K10</f>
        <v>37.02564102564103</v>
      </c>
      <c r="L11" s="20" t="str">
        <f>IF($H$1="m","m3",IF($H$1="dm","dm3",IF($H$1="cm","cm3","mm3")))</f>
        <v>cm3</v>
      </c>
      <c r="Q11" s="1"/>
      <c r="S11" s="31"/>
    </row>
    <row r="12" spans="2:19" ht="22.5" customHeight="1">
      <c r="B12" s="56"/>
      <c r="C12" s="56"/>
      <c r="D12" s="56"/>
      <c r="E12" s="57"/>
      <c r="F12" s="64"/>
      <c r="G12" s="64"/>
      <c r="H12" s="64"/>
      <c r="I12" s="64"/>
      <c r="J12" s="64"/>
      <c r="K12" s="64"/>
      <c r="L12" s="64"/>
      <c r="M12" s="64"/>
      <c r="N12" s="64"/>
      <c r="O12" s="64"/>
      <c r="P12" s="64"/>
      <c r="Q12" s="1"/>
      <c r="R12" s="31"/>
      <c r="S12" s="31"/>
    </row>
    <row r="13" spans="2:26" ht="10.5" customHeight="1">
      <c r="B13" s="60"/>
      <c r="C13" s="60"/>
      <c r="D13" s="60"/>
      <c r="E13" s="61"/>
      <c r="F13" s="62"/>
      <c r="G13" s="60"/>
      <c r="H13" s="61"/>
      <c r="I13" s="62"/>
      <c r="J13" s="60"/>
      <c r="K13" s="61"/>
      <c r="L13" s="62"/>
      <c r="M13" s="60"/>
      <c r="N13" s="61"/>
      <c r="O13" s="62"/>
      <c r="P13" s="63"/>
      <c r="Q13" s="1"/>
      <c r="V13" s="37"/>
      <c r="Z13" s="20"/>
    </row>
    <row r="14" spans="6:32" ht="22.5" customHeight="1">
      <c r="F14" s="71" t="str">
        <f>IF(Info!H10&gt;2.5,"Square form",IF(Info!H10&gt;1.5,"Vierkantprofil",IF(Info!H10&gt;0.5,"Dörtköşe profil")))</f>
        <v>Dörtköşe profil</v>
      </c>
      <c r="Q14" s="1"/>
      <c r="V14" s="37"/>
      <c r="W14" s="20"/>
      <c r="Y14" s="37"/>
      <c r="Z14" s="20"/>
      <c r="AB14" s="37"/>
      <c r="AC14" s="20"/>
      <c r="AE14" s="37"/>
      <c r="AF14" s="20"/>
    </row>
    <row r="15" spans="3:29" ht="22.5" customHeight="1">
      <c r="C15" s="1"/>
      <c r="P15" s="1"/>
      <c r="S15" s="29"/>
      <c r="T15" s="29"/>
      <c r="AB15" s="37"/>
      <c r="AC15" s="20"/>
    </row>
    <row r="16" spans="11:32" ht="22.5" customHeight="1">
      <c r="K16" s="1"/>
      <c r="L16" s="1"/>
      <c r="M16" s="1"/>
      <c r="N16" s="1"/>
      <c r="O16" s="1"/>
      <c r="P16" s="1"/>
      <c r="Q16" s="20"/>
      <c r="V16" s="37"/>
      <c r="W16" s="20"/>
      <c r="Y16" s="37"/>
      <c r="Z16" s="20"/>
      <c r="AB16" s="37"/>
      <c r="AC16" s="20"/>
      <c r="AE16" s="37"/>
      <c r="AF16" s="20"/>
    </row>
    <row r="17" spans="1:33" s="64" customFormat="1" ht="22.5" customHeight="1">
      <c r="A17" s="22"/>
      <c r="S17" s="31"/>
      <c r="T17" s="31"/>
      <c r="U17" s="31"/>
      <c r="V17" s="39"/>
      <c r="W17" s="32"/>
      <c r="Y17" s="70"/>
      <c r="Z17" s="71"/>
      <c r="AG17" s="31"/>
    </row>
    <row r="18" spans="1:32" s="31" customFormat="1" ht="22.5" customHeight="1">
      <c r="A18" s="22"/>
      <c r="Q18" s="28"/>
      <c r="S18" s="1"/>
      <c r="T18" s="1"/>
      <c r="V18" s="39"/>
      <c r="W18" s="32"/>
      <c r="Y18" s="39"/>
      <c r="Z18" s="32"/>
      <c r="AB18" s="39"/>
      <c r="AC18" s="32"/>
      <c r="AE18" s="39"/>
      <c r="AF18" s="32"/>
    </row>
    <row r="19" spans="2:18" ht="22.5" customHeight="1">
      <c r="B19" s="1"/>
      <c r="C19" s="31"/>
      <c r="D19" s="31"/>
      <c r="E19" s="39"/>
      <c r="G19" s="31"/>
      <c r="J19" s="1"/>
      <c r="K19" s="1"/>
      <c r="L19" s="1"/>
      <c r="M19" s="1"/>
      <c r="N19" s="1"/>
      <c r="O19" s="1"/>
      <c r="P19" s="1"/>
      <c r="Q19" s="1"/>
      <c r="R19" s="1"/>
    </row>
    <row r="20" spans="2:17" ht="22.5" customHeight="1">
      <c r="B20" s="1"/>
      <c r="C20" s="1"/>
      <c r="D20" s="1"/>
      <c r="E20" s="1"/>
      <c r="F20" s="16" t="s">
        <v>78</v>
      </c>
      <c r="G20" s="48">
        <v>10</v>
      </c>
      <c r="H20" s="20" t="str">
        <f>IF($H$1="m","m",IF($H$1="dm","dm",IF($H$1="cm","cm","mm")))</f>
        <v>cm</v>
      </c>
      <c r="I20" s="1"/>
      <c r="J20" s="16" t="s">
        <v>32</v>
      </c>
      <c r="K20" s="34">
        <f>G20*G22-(G20-G21)*G23-G21*G24</f>
        <v>26.8</v>
      </c>
      <c r="L20" s="20" t="str">
        <f>IF($H$1="m","m2",IF($H$1="dm","dm2",IF($H$1="cm","cm2","mm2")))</f>
        <v>cm2</v>
      </c>
      <c r="M20" s="1"/>
      <c r="N20" s="1"/>
      <c r="O20" s="1"/>
      <c r="P20" s="1"/>
      <c r="Q20" s="1"/>
    </row>
    <row r="21" spans="2:17" ht="22.5" customHeight="1">
      <c r="B21" s="1"/>
      <c r="C21" s="1"/>
      <c r="D21" s="1"/>
      <c r="E21" s="1"/>
      <c r="F21" s="16" t="s">
        <v>19</v>
      </c>
      <c r="G21" s="48">
        <v>2</v>
      </c>
      <c r="H21" s="20" t="str">
        <f>IF($H$1="m","m",IF($H$1="dm","dm",IF($H$1="cm","cm","mm")))</f>
        <v>cm</v>
      </c>
      <c r="I21" s="1"/>
      <c r="J21" s="18" t="s">
        <v>53</v>
      </c>
      <c r="K21" s="34">
        <f>(G20*(G22^3-N23^3)+G21*(G23^3-G24^3))/12</f>
        <v>190.63066666666668</v>
      </c>
      <c r="L21" s="20" t="str">
        <f>IF($H$1="m","m4",IF($H$1="dm","dm4",IF($H$1="cm","cm4","mm4")))</f>
        <v>cm4</v>
      </c>
      <c r="N21" s="1"/>
      <c r="O21" s="1"/>
      <c r="P21" s="1"/>
      <c r="Q21" s="1"/>
    </row>
    <row r="22" spans="2:17" ht="22.5" customHeight="1">
      <c r="B22" s="1"/>
      <c r="C22" s="1"/>
      <c r="D22" s="1"/>
      <c r="E22" s="1"/>
      <c r="F22" s="16" t="s">
        <v>40</v>
      </c>
      <c r="G22" s="48">
        <v>6</v>
      </c>
      <c r="H22" s="20" t="str">
        <f>IF($H$1="m","m",IF($H$1="dm","dm",IF($H$1="cm","cm","mm")))</f>
        <v>cm</v>
      </c>
      <c r="I22" s="1"/>
      <c r="J22" s="18" t="s">
        <v>54</v>
      </c>
      <c r="K22" s="34">
        <f>(G20*(G22^3-N23^3)+G21*(G23^3-G24^3))/6/G22</f>
        <v>63.543555555555564</v>
      </c>
      <c r="L22" s="20" t="str">
        <f>IF($H$1="m","m3",IF($H$1="dm","dm3",IF($H$1="cm","cm3","mm3")))</f>
        <v>cm3</v>
      </c>
      <c r="M22" s="1"/>
      <c r="N22" s="1"/>
      <c r="O22" s="1"/>
      <c r="P22" s="1"/>
      <c r="Q22" s="1"/>
    </row>
    <row r="23" spans="2:17" ht="22.5" customHeight="1">
      <c r="B23" s="1"/>
      <c r="C23" s="1"/>
      <c r="D23" s="1"/>
      <c r="E23" s="1"/>
      <c r="F23" s="16" t="s">
        <v>24</v>
      </c>
      <c r="G23" s="48">
        <v>4</v>
      </c>
      <c r="H23" s="20" t="str">
        <f>IF($H$1="m","m",IF($H$1="dm","dm",IF($H$1="cm","cm","mm")))</f>
        <v>cm</v>
      </c>
      <c r="I23" s="1"/>
      <c r="J23" s="1"/>
      <c r="K23" s="1"/>
      <c r="L23" s="1"/>
      <c r="M23" s="1"/>
      <c r="N23" s="1"/>
      <c r="O23" s="1"/>
      <c r="P23" s="1"/>
      <c r="Q23" s="1"/>
    </row>
    <row r="24" spans="6:16" ht="22.5" customHeight="1">
      <c r="F24" s="16" t="s">
        <v>79</v>
      </c>
      <c r="G24" s="48">
        <v>0.6</v>
      </c>
      <c r="H24" s="20" t="str">
        <f>IF($H$1="m","m",IF($H$1="dm","dm",IF($H$1="cm","cm","mm")))</f>
        <v>cm</v>
      </c>
      <c r="I24" s="1"/>
      <c r="J24" s="1"/>
      <c r="K24" s="1"/>
      <c r="L24" s="1"/>
      <c r="M24" s="1"/>
      <c r="N24" s="1"/>
      <c r="O24" s="1"/>
      <c r="P24" s="1"/>
    </row>
    <row r="25" spans="1:16" ht="22.5" customHeight="1">
      <c r="A25" s="31"/>
      <c r="B25" s="31"/>
      <c r="C25" s="31"/>
      <c r="D25" s="31"/>
      <c r="E25" s="39"/>
      <c r="F25" s="1"/>
      <c r="G25" s="1"/>
      <c r="H25" s="1"/>
      <c r="I25" s="1"/>
      <c r="J25" s="1"/>
      <c r="K25" s="1"/>
      <c r="L25" s="1"/>
      <c r="M25" s="1"/>
      <c r="N25" s="1"/>
      <c r="O25" s="1"/>
      <c r="P25" s="1"/>
    </row>
    <row r="26" spans="1:18" ht="22.5" customHeight="1">
      <c r="A26" s="31"/>
      <c r="B26" s="31"/>
      <c r="C26" s="31"/>
      <c r="D26" s="31"/>
      <c r="E26" s="39"/>
      <c r="I26" s="32"/>
      <c r="M26" s="31"/>
      <c r="Q26" s="31"/>
      <c r="R26" s="31"/>
    </row>
    <row r="27" ht="22.5" customHeight="1"/>
    <row r="28" ht="22.5" customHeight="1"/>
    <row r="29" ht="22.5" customHeight="1"/>
    <row r="30" spans="12:14" ht="22.5" customHeight="1">
      <c r="L30" s="22"/>
      <c r="M30" s="37"/>
      <c r="N30" s="20"/>
    </row>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DBE4" sheet="1" objects="1" scenarios="1"/>
  <mergeCells count="1">
    <mergeCell ref="K3:P4"/>
  </mergeCells>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4"/>
  <legacyDrawing r:id="rId3"/>
  <oleObjects>
    <oleObject progId="AutoCAD.Drawing.15" shapeId="2157113" r:id="rId1"/>
    <oleObject progId="AutoCAD.Drawing.15" shapeId="2169717" r:id="rId2"/>
  </oleObjects>
</worksheet>
</file>

<file path=xl/worksheets/sheet2.xml><?xml version="1.0" encoding="utf-8"?>
<worksheet xmlns="http://schemas.openxmlformats.org/spreadsheetml/2006/main" xmlns:r="http://schemas.openxmlformats.org/officeDocument/2006/relationships">
  <dimension ref="A2:N67"/>
  <sheetViews>
    <sheetView showGridLines="0" showRowColHeaders="0" zoomScale="80" zoomScaleNormal="80" workbookViewId="0" topLeftCell="A1">
      <selection activeCell="C14" sqref="C14:N14"/>
    </sheetView>
  </sheetViews>
  <sheetFormatPr defaultColWidth="9.140625" defaultRowHeight="12.75"/>
  <cols>
    <col min="1" max="1" width="4.7109375" style="109" customWidth="1"/>
    <col min="2" max="2" width="4.7109375" style="54" customWidth="1"/>
    <col min="3" max="3" width="11.7109375" style="11" customWidth="1"/>
    <col min="4" max="14" width="11.7109375" style="54" customWidth="1"/>
    <col min="15" max="15" width="4.7109375" style="54" customWidth="1"/>
    <col min="16" max="16384" width="11.421875" style="54" customWidth="1"/>
  </cols>
  <sheetData>
    <row r="1" ht="15" customHeight="1"/>
    <row r="2" ht="15" customHeight="1">
      <c r="A2" s="110" t="str">
        <f>IF(F31&gt;2.5,C33,IF(F31&gt;1.5,C32,C31))</f>
        <v>Programın kullanılması:</v>
      </c>
    </row>
    <row r="3" ht="15" customHeight="1">
      <c r="A3" s="110"/>
    </row>
    <row r="4" spans="1:14" ht="31.5" customHeight="1">
      <c r="A4" s="111">
        <v>1</v>
      </c>
      <c r="C4" s="81" t="str">
        <f>IF(F31&gt;2.5,C37,IF(F31&gt;1.5,C36,C35))</f>
        <v>Bu programı bilgisayarınızda kendinize göre bir yere kopyasını çıkarınız. Hesap yapacağınız zaman bilgisayardaki programı kullanınız.</v>
      </c>
      <c r="D4" s="81"/>
      <c r="E4" s="81"/>
      <c r="F4" s="81"/>
      <c r="G4" s="81"/>
      <c r="H4" s="81"/>
      <c r="I4" s="81"/>
      <c r="J4" s="81"/>
      <c r="K4" s="81"/>
      <c r="L4" s="81"/>
      <c r="M4" s="81"/>
      <c r="N4" s="81"/>
    </row>
    <row r="5" ht="15" customHeight="1"/>
    <row r="6" spans="1:14" ht="31.5" customHeight="1">
      <c r="A6" s="111">
        <f>A4+1</f>
        <v>2</v>
      </c>
      <c r="C6" s="81" t="str">
        <f>IF(F31&gt;2.5,C41,IF(F31&gt;1.5,C40,C39))</f>
        <v>Kullanacağınız sayfaya gelince, hesaplamaya başlamadan önce, bütün mavi karelerdeki değerleri siliniz. Böylece dikkatsizlik yanlışı yapma imkanını ortadan kaldırmış olursunuz.</v>
      </c>
      <c r="D6" s="81"/>
      <c r="E6" s="81"/>
      <c r="F6" s="81"/>
      <c r="G6" s="81"/>
      <c r="H6" s="81"/>
      <c r="I6" s="81"/>
      <c r="J6" s="81"/>
      <c r="K6" s="81"/>
      <c r="L6" s="81"/>
      <c r="M6" s="81"/>
      <c r="N6" s="81"/>
    </row>
    <row r="7" spans="4:14" ht="15" customHeight="1">
      <c r="D7" s="112"/>
      <c r="E7" s="112"/>
      <c r="F7" s="112"/>
      <c r="G7" s="112"/>
      <c r="H7" s="112"/>
      <c r="I7" s="112"/>
      <c r="J7" s="112"/>
      <c r="K7" s="112"/>
      <c r="L7" s="112"/>
      <c r="M7" s="112"/>
      <c r="N7" s="112"/>
    </row>
    <row r="8" spans="1:14" ht="31.5" customHeight="1">
      <c r="A8" s="111">
        <f>A6+1</f>
        <v>3</v>
      </c>
      <c r="C8" s="81" t="str">
        <f>IF(F31&gt;2.5,C45,IF(F31&gt;1.5,C44,C43))</f>
        <v>Sıra ile mavi karelere yapacağınız hesaba ait değerleri dikkatlice yerleştiriniz. Hesaplamalarınız için gerekli olmayan mavi karelere değerler yerleştirmek yanlış hesap sonuçlarına sebep olabilir. Dikkatli olmak gereklidir.</v>
      </c>
      <c r="D8" s="81"/>
      <c r="E8" s="81"/>
      <c r="F8" s="81"/>
      <c r="G8" s="81"/>
      <c r="H8" s="81"/>
      <c r="I8" s="81"/>
      <c r="J8" s="81"/>
      <c r="K8" s="81"/>
      <c r="L8" s="81"/>
      <c r="M8" s="81"/>
      <c r="N8" s="81"/>
    </row>
    <row r="9" spans="1:14" ht="15" customHeight="1">
      <c r="A9" s="111"/>
      <c r="D9" s="112"/>
      <c r="E9" s="112"/>
      <c r="F9" s="112"/>
      <c r="G9" s="112"/>
      <c r="H9" s="112"/>
      <c r="I9" s="112"/>
      <c r="J9" s="112"/>
      <c r="K9" s="112"/>
      <c r="L9" s="112"/>
      <c r="M9" s="112"/>
      <c r="N9" s="112"/>
    </row>
    <row r="10" spans="1:14" ht="31.5" customHeight="1">
      <c r="A10" s="111">
        <f>A8+1</f>
        <v>4</v>
      </c>
      <c r="C10" s="113" t="str">
        <f>IF(F31&gt;2.5,C49,IF(F31&gt;1.5,C48,C47))</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0" s="113"/>
      <c r="E10" s="113"/>
      <c r="F10" s="113"/>
      <c r="G10" s="113"/>
      <c r="H10" s="113"/>
      <c r="I10" s="113"/>
      <c r="J10" s="113"/>
      <c r="K10" s="113"/>
      <c r="L10" s="113"/>
      <c r="M10" s="113"/>
      <c r="N10" s="113"/>
    </row>
    <row r="11" spans="4:14" ht="15" customHeight="1">
      <c r="D11" s="112"/>
      <c r="E11" s="112"/>
      <c r="F11" s="112"/>
      <c r="G11" s="112"/>
      <c r="H11" s="112"/>
      <c r="I11" s="112"/>
      <c r="J11" s="112"/>
      <c r="K11" s="112"/>
      <c r="L11" s="112"/>
      <c r="M11" s="112"/>
      <c r="N11" s="112"/>
    </row>
    <row r="12" spans="1:14" ht="31.5" customHeight="1">
      <c r="A12" s="111">
        <f>A10+1</f>
        <v>5</v>
      </c>
      <c r="C12" s="113" t="str">
        <f>IF(F31&gt;2.5,C53,IF(F31&gt;1.5,C52,C51))</f>
        <v>Çoğu mavi karenin çevresinde değerlerin nereden alınması gerektiğini gösteren bilgi bulunmaktadır. Bu gösterilere uyulması hesapların doğruluğu açısından çok önemlidir.</v>
      </c>
      <c r="D12" s="113"/>
      <c r="E12" s="113"/>
      <c r="F12" s="113"/>
      <c r="G12" s="113"/>
      <c r="H12" s="113"/>
      <c r="I12" s="113"/>
      <c r="J12" s="113"/>
      <c r="K12" s="113"/>
      <c r="L12" s="113"/>
      <c r="M12" s="113"/>
      <c r="N12" s="113"/>
    </row>
    <row r="13" spans="4:14" ht="15" customHeight="1">
      <c r="D13" s="112"/>
      <c r="E13" s="112"/>
      <c r="F13" s="112"/>
      <c r="G13" s="112"/>
      <c r="H13" s="112"/>
      <c r="I13" s="112"/>
      <c r="J13" s="112"/>
      <c r="K13" s="112"/>
      <c r="L13" s="112"/>
      <c r="M13" s="112"/>
      <c r="N13" s="112"/>
    </row>
    <row r="14" spans="1:14" ht="15.75" customHeight="1">
      <c r="A14" s="111">
        <f>A12+1</f>
        <v>6</v>
      </c>
      <c r="C14" s="113" t="str">
        <f>IF(F31&gt;2.5,C57,IF(F31&gt;1.5,C56,C55))</f>
        <v>İnanılır hesapların yapılabilinmesi için konu hakkında gereken teoriyi önceden öğrenmek avantajdır.</v>
      </c>
      <c r="D14" s="113"/>
      <c r="E14" s="113"/>
      <c r="F14" s="113"/>
      <c r="G14" s="113"/>
      <c r="H14" s="113"/>
      <c r="I14" s="113"/>
      <c r="J14" s="113"/>
      <c r="K14" s="113"/>
      <c r="L14" s="113"/>
      <c r="M14" s="113"/>
      <c r="N14" s="113"/>
    </row>
    <row r="15" spans="4:14" ht="15" customHeight="1">
      <c r="D15" s="112"/>
      <c r="E15" s="112"/>
      <c r="F15" s="112"/>
      <c r="G15" s="112"/>
      <c r="H15" s="112"/>
      <c r="I15" s="112"/>
      <c r="J15" s="112"/>
      <c r="K15" s="112"/>
      <c r="L15" s="112"/>
      <c r="M15" s="112"/>
      <c r="N15" s="112"/>
    </row>
    <row r="16" spans="1:14" ht="63.75" customHeight="1">
      <c r="A16" s="111">
        <f>A14+1</f>
        <v>7</v>
      </c>
      <c r="C16" s="113" t="str">
        <f>IF(F31&gt;2.5,C61,IF(F31&gt;1.5,C60,C59))</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16" s="113"/>
      <c r="E16" s="113"/>
      <c r="F16" s="113"/>
      <c r="G16" s="113"/>
      <c r="H16" s="113"/>
      <c r="I16" s="113"/>
      <c r="J16" s="113"/>
      <c r="K16" s="113"/>
      <c r="L16" s="113"/>
      <c r="M16" s="113"/>
      <c r="N16" s="113"/>
    </row>
    <row r="17" ht="15" customHeight="1"/>
    <row r="18" spans="1:14" ht="31.5" customHeight="1">
      <c r="A18" s="111">
        <f>A16+1</f>
        <v>8</v>
      </c>
      <c r="C18" s="81" t="str">
        <f>IF(F31&gt;2.5,C65,IF(F31&gt;1.5,C64,C63))</f>
        <v>Eğer hesaplamalarında özel bir konstruksiyonun hesabı gerekiyorsa veya öğrenmek istediğiniz bir şey varsa, hiç çekinmeden bizimle temasa geçebilirsiniz. Bilgimizin yettiği kadar size memnuniyetle yardım ederiz.</v>
      </c>
      <c r="D18" s="81"/>
      <c r="E18" s="81"/>
      <c r="F18" s="81"/>
      <c r="G18" s="81"/>
      <c r="H18" s="81"/>
      <c r="I18" s="81"/>
      <c r="J18" s="81"/>
      <c r="K18" s="81"/>
      <c r="L18" s="81"/>
      <c r="M18" s="81"/>
      <c r="N18" s="81"/>
    </row>
    <row r="19" ht="15" customHeight="1"/>
    <row r="20" spans="3:9" ht="15" customHeight="1">
      <c r="C20" s="114"/>
      <c r="D20" s="131" t="str">
        <f>Info!B8</f>
        <v>e-mail :  info@guven-kutay.ch</v>
      </c>
      <c r="E20" s="116"/>
      <c r="F20" s="116"/>
      <c r="H20" s="131" t="str">
        <f>Info!B7</f>
        <v>www.guven-kutay.ch</v>
      </c>
      <c r="I20" s="115"/>
    </row>
    <row r="21" ht="15" customHeight="1"/>
    <row r="22" ht="15" customHeight="1"/>
    <row r="23" ht="15" customHeight="1" hidden="1"/>
    <row r="24" ht="15" customHeight="1" hidden="1"/>
    <row r="25" ht="15" customHeight="1" hidden="1"/>
    <row r="26" ht="15" customHeight="1" hidden="1"/>
    <row r="27" ht="15" customHeight="1" hidden="1"/>
    <row r="28" ht="15" customHeight="1" hidden="1"/>
    <row r="29" ht="15" customHeight="1" hidden="1"/>
    <row r="30" ht="15" customHeight="1" hidden="1"/>
    <row r="31" spans="1:14" ht="45" customHeight="1" hidden="1">
      <c r="A31" s="117" t="s">
        <v>0</v>
      </c>
      <c r="C31" s="11" t="s">
        <v>98</v>
      </c>
      <c r="D31" s="11"/>
      <c r="E31" s="11"/>
      <c r="F31" s="118">
        <f>Info!H10</f>
        <v>1</v>
      </c>
      <c r="G31" s="11"/>
      <c r="H31" s="11"/>
      <c r="I31" s="11"/>
      <c r="J31" s="11"/>
      <c r="K31" s="11"/>
      <c r="L31" s="11"/>
      <c r="M31" s="11"/>
      <c r="N31" s="11"/>
    </row>
    <row r="32" spans="1:14" ht="19.5" customHeight="1" hidden="1">
      <c r="A32" s="119" t="s">
        <v>1</v>
      </c>
      <c r="B32" s="119"/>
      <c r="C32" s="120" t="s">
        <v>99</v>
      </c>
      <c r="D32" s="120"/>
      <c r="E32" s="120"/>
      <c r="F32" s="120"/>
      <c r="G32" s="120"/>
      <c r="H32" s="120"/>
      <c r="I32" s="120"/>
      <c r="J32" s="120"/>
      <c r="K32" s="120"/>
      <c r="L32" s="120"/>
      <c r="M32" s="120"/>
      <c r="N32" s="11"/>
    </row>
    <row r="33" spans="1:14" ht="19.5" customHeight="1" hidden="1">
      <c r="A33" s="121" t="s">
        <v>2</v>
      </c>
      <c r="B33" s="121"/>
      <c r="C33" s="122" t="s">
        <v>100</v>
      </c>
      <c r="D33" s="122"/>
      <c r="E33" s="122"/>
      <c r="F33" s="122"/>
      <c r="G33" s="122"/>
      <c r="H33" s="122"/>
      <c r="I33" s="122"/>
      <c r="J33" s="122"/>
      <c r="K33" s="122"/>
      <c r="L33" s="122"/>
      <c r="M33" s="122"/>
      <c r="N33" s="11"/>
    </row>
    <row r="34" spans="2:14" ht="18" customHeight="1" hidden="1">
      <c r="B34" s="11"/>
      <c r="D34" s="11"/>
      <c r="E34" s="11"/>
      <c r="F34" s="118"/>
      <c r="G34" s="11"/>
      <c r="H34" s="11"/>
      <c r="I34" s="11"/>
      <c r="J34" s="11"/>
      <c r="K34" s="11"/>
      <c r="L34" s="11"/>
      <c r="M34" s="11"/>
      <c r="N34" s="11"/>
    </row>
    <row r="35" spans="1:14" s="126" customFormat="1" ht="15.75" customHeight="1" hidden="1">
      <c r="A35" s="123">
        <v>1</v>
      </c>
      <c r="B35" s="124"/>
      <c r="C35" s="125" t="s">
        <v>101</v>
      </c>
      <c r="D35" s="125"/>
      <c r="E35" s="125"/>
      <c r="F35" s="125"/>
      <c r="G35" s="125"/>
      <c r="H35" s="125"/>
      <c r="I35" s="125"/>
      <c r="J35" s="125"/>
      <c r="K35" s="125"/>
      <c r="L35" s="125"/>
      <c r="M35" s="125"/>
      <c r="N35" s="125"/>
    </row>
    <row r="36" spans="1:14" s="126" customFormat="1" ht="31.5" customHeight="1" hidden="1">
      <c r="A36" s="127">
        <v>1</v>
      </c>
      <c r="B36" s="119"/>
      <c r="C36" s="120" t="s">
        <v>102</v>
      </c>
      <c r="D36" s="120"/>
      <c r="E36" s="120"/>
      <c r="F36" s="120"/>
      <c r="G36" s="120"/>
      <c r="H36" s="120"/>
      <c r="I36" s="120"/>
      <c r="J36" s="120"/>
      <c r="K36" s="120"/>
      <c r="L36" s="120"/>
      <c r="M36" s="120"/>
      <c r="N36" s="120"/>
    </row>
    <row r="37" spans="1:14" s="126" customFormat="1" ht="15.75" customHeight="1" hidden="1">
      <c r="A37" s="128">
        <v>1</v>
      </c>
      <c r="B37" s="121"/>
      <c r="C37" s="122" t="s">
        <v>103</v>
      </c>
      <c r="D37" s="122"/>
      <c r="E37" s="122"/>
      <c r="F37" s="122"/>
      <c r="G37" s="122"/>
      <c r="H37" s="122"/>
      <c r="I37" s="122"/>
      <c r="J37" s="122"/>
      <c r="K37" s="122"/>
      <c r="L37" s="122"/>
      <c r="M37" s="122"/>
      <c r="N37" s="122"/>
    </row>
    <row r="38" spans="1:14" s="126" customFormat="1" ht="15.75" customHeight="1" hidden="1">
      <c r="A38" s="123"/>
      <c r="B38" s="124"/>
      <c r="C38" s="124"/>
      <c r="D38" s="124"/>
      <c r="E38" s="124"/>
      <c r="F38" s="124"/>
      <c r="G38" s="124"/>
      <c r="H38" s="124"/>
      <c r="I38" s="124"/>
      <c r="J38" s="124"/>
      <c r="K38" s="124"/>
      <c r="L38" s="124"/>
      <c r="M38" s="124"/>
      <c r="N38" s="124"/>
    </row>
    <row r="39" spans="1:14" s="126" customFormat="1" ht="31.5" customHeight="1" hidden="1">
      <c r="A39" s="123">
        <f>A35+1</f>
        <v>2</v>
      </c>
      <c r="C39" s="125" t="s">
        <v>104</v>
      </c>
      <c r="D39" s="125"/>
      <c r="E39" s="125"/>
      <c r="F39" s="125"/>
      <c r="G39" s="125"/>
      <c r="H39" s="125"/>
      <c r="I39" s="125"/>
      <c r="J39" s="125"/>
      <c r="K39" s="125"/>
      <c r="L39" s="125"/>
      <c r="M39" s="125"/>
      <c r="N39" s="125"/>
    </row>
    <row r="40" spans="1:14" s="126" customFormat="1" ht="31.5" customHeight="1" hidden="1">
      <c r="A40" s="127">
        <f>A36+1</f>
        <v>2</v>
      </c>
      <c r="B40" s="119"/>
      <c r="C40" s="120" t="s">
        <v>105</v>
      </c>
      <c r="D40" s="120"/>
      <c r="E40" s="120"/>
      <c r="F40" s="120"/>
      <c r="G40" s="120"/>
      <c r="H40" s="120"/>
      <c r="I40" s="120"/>
      <c r="J40" s="120"/>
      <c r="K40" s="120"/>
      <c r="L40" s="120"/>
      <c r="M40" s="120"/>
      <c r="N40" s="120"/>
    </row>
    <row r="41" spans="1:14" s="126" customFormat="1" ht="15.75" customHeight="1" hidden="1">
      <c r="A41" s="128">
        <f>A37+1</f>
        <v>2</v>
      </c>
      <c r="B41" s="121"/>
      <c r="C41" s="122" t="s">
        <v>106</v>
      </c>
      <c r="D41" s="122"/>
      <c r="E41" s="122"/>
      <c r="F41" s="122"/>
      <c r="G41" s="122"/>
      <c r="H41" s="122"/>
      <c r="I41" s="122"/>
      <c r="J41" s="122"/>
      <c r="K41" s="122"/>
      <c r="L41" s="122"/>
      <c r="M41" s="122"/>
      <c r="N41" s="122"/>
    </row>
    <row r="42" spans="1:14" s="126" customFormat="1" ht="15.75" customHeight="1" hidden="1">
      <c r="A42" s="123"/>
      <c r="C42" s="124"/>
      <c r="D42" s="124"/>
      <c r="E42" s="124"/>
      <c r="F42" s="124"/>
      <c r="G42" s="124"/>
      <c r="H42" s="124"/>
      <c r="I42" s="124"/>
      <c r="J42" s="124"/>
      <c r="K42" s="124"/>
      <c r="L42" s="124"/>
      <c r="M42" s="124"/>
      <c r="N42" s="124"/>
    </row>
    <row r="43" spans="1:14" s="126" customFormat="1" ht="31.5" customHeight="1" hidden="1">
      <c r="A43" s="123">
        <f>A39+1</f>
        <v>3</v>
      </c>
      <c r="C43" s="125" t="s">
        <v>107</v>
      </c>
      <c r="D43" s="125"/>
      <c r="E43" s="125"/>
      <c r="F43" s="125"/>
      <c r="G43" s="125"/>
      <c r="H43" s="125"/>
      <c r="I43" s="125"/>
      <c r="J43" s="125"/>
      <c r="K43" s="125"/>
      <c r="L43" s="125"/>
      <c r="M43" s="125"/>
      <c r="N43" s="125"/>
    </row>
    <row r="44" spans="1:14" s="126" customFormat="1" ht="31.5" customHeight="1" hidden="1">
      <c r="A44" s="127">
        <f>A40+1</f>
        <v>3</v>
      </c>
      <c r="B44" s="119"/>
      <c r="C44" s="120" t="s">
        <v>108</v>
      </c>
      <c r="D44" s="120"/>
      <c r="E44" s="120"/>
      <c r="F44" s="120"/>
      <c r="G44" s="120"/>
      <c r="H44" s="120"/>
      <c r="I44" s="120"/>
      <c r="J44" s="120"/>
      <c r="K44" s="120"/>
      <c r="L44" s="120"/>
      <c r="M44" s="120"/>
      <c r="N44" s="120"/>
    </row>
    <row r="45" spans="1:14" s="126" customFormat="1" ht="15.75" customHeight="1" hidden="1">
      <c r="A45" s="128">
        <f>A41+1</f>
        <v>3</v>
      </c>
      <c r="B45" s="121"/>
      <c r="C45" s="122" t="s">
        <v>109</v>
      </c>
      <c r="D45" s="122"/>
      <c r="E45" s="122"/>
      <c r="F45" s="122"/>
      <c r="G45" s="122"/>
      <c r="H45" s="122"/>
      <c r="I45" s="122"/>
      <c r="J45" s="122"/>
      <c r="K45" s="122"/>
      <c r="L45" s="122"/>
      <c r="M45" s="122"/>
      <c r="N45" s="122"/>
    </row>
    <row r="46" spans="1:14" s="126" customFormat="1" ht="15.75" customHeight="1" hidden="1">
      <c r="A46" s="123"/>
      <c r="C46" s="124"/>
      <c r="D46" s="124"/>
      <c r="E46" s="124"/>
      <c r="F46" s="124"/>
      <c r="G46" s="124"/>
      <c r="H46" s="124"/>
      <c r="I46" s="124"/>
      <c r="J46" s="124"/>
      <c r="K46" s="124"/>
      <c r="L46" s="124"/>
      <c r="M46" s="124"/>
      <c r="N46" s="124"/>
    </row>
    <row r="47" spans="1:14" s="126" customFormat="1" ht="31.5" customHeight="1" hidden="1">
      <c r="A47" s="123">
        <f>A43+1</f>
        <v>4</v>
      </c>
      <c r="C47" s="125" t="s">
        <v>110</v>
      </c>
      <c r="D47" s="125"/>
      <c r="E47" s="125"/>
      <c r="F47" s="125"/>
      <c r="G47" s="125"/>
      <c r="H47" s="125"/>
      <c r="I47" s="125"/>
      <c r="J47" s="125"/>
      <c r="K47" s="125"/>
      <c r="L47" s="125"/>
      <c r="M47" s="125"/>
      <c r="N47" s="125"/>
    </row>
    <row r="48" spans="1:14" s="126" customFormat="1" ht="31.5" customHeight="1" hidden="1">
      <c r="A48" s="127">
        <f>A44+1</f>
        <v>4</v>
      </c>
      <c r="B48" s="119"/>
      <c r="C48" s="120" t="s">
        <v>111</v>
      </c>
      <c r="D48" s="120"/>
      <c r="E48" s="120"/>
      <c r="F48" s="120"/>
      <c r="G48" s="120"/>
      <c r="H48" s="120"/>
      <c r="I48" s="120"/>
      <c r="J48" s="120"/>
      <c r="K48" s="120"/>
      <c r="L48" s="120"/>
      <c r="M48" s="120"/>
      <c r="N48" s="120"/>
    </row>
    <row r="49" spans="1:14" s="126" customFormat="1" ht="15.75" customHeight="1" hidden="1">
      <c r="A49" s="128">
        <f>A45+1</f>
        <v>4</v>
      </c>
      <c r="B49" s="121"/>
      <c r="C49" s="122" t="s">
        <v>112</v>
      </c>
      <c r="D49" s="122"/>
      <c r="E49" s="122"/>
      <c r="F49" s="122"/>
      <c r="G49" s="122"/>
      <c r="H49" s="122"/>
      <c r="I49" s="122"/>
      <c r="J49" s="122"/>
      <c r="K49" s="122"/>
      <c r="L49" s="122"/>
      <c r="M49" s="122"/>
      <c r="N49" s="122"/>
    </row>
    <row r="50" spans="1:14" s="126" customFormat="1" ht="15.75" customHeight="1" hidden="1">
      <c r="A50" s="123"/>
      <c r="C50" s="124"/>
      <c r="D50" s="124"/>
      <c r="E50" s="124"/>
      <c r="F50" s="124"/>
      <c r="G50" s="124"/>
      <c r="H50" s="124"/>
      <c r="I50" s="124"/>
      <c r="J50" s="124"/>
      <c r="K50" s="124"/>
      <c r="L50" s="124"/>
      <c r="M50" s="124"/>
      <c r="N50" s="124"/>
    </row>
    <row r="51" spans="1:14" s="126" customFormat="1" ht="31.5" customHeight="1" hidden="1">
      <c r="A51" s="123">
        <f>A47+1</f>
        <v>5</v>
      </c>
      <c r="C51" s="125" t="s">
        <v>113</v>
      </c>
      <c r="D51" s="125"/>
      <c r="E51" s="125"/>
      <c r="F51" s="125"/>
      <c r="G51" s="125"/>
      <c r="H51" s="125"/>
      <c r="I51" s="125"/>
      <c r="J51" s="125"/>
      <c r="K51" s="125"/>
      <c r="L51" s="125"/>
      <c r="M51" s="125"/>
      <c r="N51" s="125"/>
    </row>
    <row r="52" spans="1:14" s="126" customFormat="1" ht="31.5" customHeight="1" hidden="1">
      <c r="A52" s="127">
        <f>A48+1</f>
        <v>5</v>
      </c>
      <c r="B52" s="119"/>
      <c r="C52" s="120" t="s">
        <v>114</v>
      </c>
      <c r="D52" s="120"/>
      <c r="E52" s="120"/>
      <c r="F52" s="120"/>
      <c r="G52" s="120"/>
      <c r="H52" s="120"/>
      <c r="I52" s="120"/>
      <c r="J52" s="120"/>
      <c r="K52" s="120"/>
      <c r="L52" s="120"/>
      <c r="M52" s="120"/>
      <c r="N52" s="120"/>
    </row>
    <row r="53" spans="1:14" s="126" customFormat="1" ht="31.5" customHeight="1" hidden="1">
      <c r="A53" s="128">
        <f>A49+1</f>
        <v>5</v>
      </c>
      <c r="B53" s="121"/>
      <c r="C53" s="122" t="s">
        <v>115</v>
      </c>
      <c r="D53" s="122"/>
      <c r="E53" s="122"/>
      <c r="F53" s="122"/>
      <c r="G53" s="122"/>
      <c r="H53" s="122"/>
      <c r="I53" s="122"/>
      <c r="J53" s="122"/>
      <c r="K53" s="122"/>
      <c r="L53" s="122"/>
      <c r="M53" s="122"/>
      <c r="N53" s="122"/>
    </row>
    <row r="54" spans="1:14" s="126" customFormat="1" ht="15.75" customHeight="1" hidden="1">
      <c r="A54" s="123"/>
      <c r="C54" s="124"/>
      <c r="D54" s="124"/>
      <c r="E54" s="124"/>
      <c r="F54" s="124"/>
      <c r="G54" s="124"/>
      <c r="H54" s="124"/>
      <c r="I54" s="124"/>
      <c r="J54" s="124"/>
      <c r="K54" s="124"/>
      <c r="L54" s="124"/>
      <c r="M54" s="124"/>
      <c r="N54" s="124"/>
    </row>
    <row r="55" spans="1:14" s="126" customFormat="1" ht="15.75" customHeight="1" hidden="1">
      <c r="A55" s="123">
        <f>A51+1</f>
        <v>6</v>
      </c>
      <c r="C55" s="125" t="s">
        <v>116</v>
      </c>
      <c r="D55" s="125"/>
      <c r="E55" s="125"/>
      <c r="F55" s="125"/>
      <c r="G55" s="125"/>
      <c r="H55" s="125"/>
      <c r="I55" s="125"/>
      <c r="J55" s="125"/>
      <c r="K55" s="125"/>
      <c r="L55" s="125"/>
      <c r="M55" s="125"/>
      <c r="N55" s="125"/>
    </row>
    <row r="56" spans="1:14" s="126" customFormat="1" ht="15.75" customHeight="1" hidden="1">
      <c r="A56" s="127">
        <f>A52+1</f>
        <v>6</v>
      </c>
      <c r="B56" s="119"/>
      <c r="C56" s="120" t="s">
        <v>117</v>
      </c>
      <c r="D56" s="120"/>
      <c r="E56" s="120"/>
      <c r="F56" s="120"/>
      <c r="G56" s="120"/>
      <c r="H56" s="120"/>
      <c r="I56" s="120"/>
      <c r="J56" s="120"/>
      <c r="K56" s="120"/>
      <c r="L56" s="120"/>
      <c r="M56" s="120"/>
      <c r="N56" s="120"/>
    </row>
    <row r="57" spans="1:14" s="126" customFormat="1" ht="15.75" customHeight="1" hidden="1">
      <c r="A57" s="128">
        <f>A53+1</f>
        <v>6</v>
      </c>
      <c r="B57" s="121"/>
      <c r="C57" s="122" t="s">
        <v>118</v>
      </c>
      <c r="D57" s="122"/>
      <c r="E57" s="122"/>
      <c r="F57" s="122"/>
      <c r="G57" s="122"/>
      <c r="H57" s="122"/>
      <c r="I57" s="122"/>
      <c r="J57" s="122"/>
      <c r="K57" s="122"/>
      <c r="L57" s="122"/>
      <c r="M57" s="122"/>
      <c r="N57" s="122"/>
    </row>
    <row r="58" spans="1:14" s="126" customFormat="1" ht="15.75" customHeight="1" hidden="1">
      <c r="A58" s="123"/>
      <c r="C58" s="124"/>
      <c r="D58" s="124"/>
      <c r="E58" s="124"/>
      <c r="F58" s="124"/>
      <c r="G58" s="124"/>
      <c r="H58" s="124"/>
      <c r="I58" s="124"/>
      <c r="J58" s="124"/>
      <c r="K58" s="124"/>
      <c r="L58" s="124"/>
      <c r="M58" s="124"/>
      <c r="N58" s="124"/>
    </row>
    <row r="59" spans="1:14" s="126" customFormat="1" ht="63.75" customHeight="1" hidden="1">
      <c r="A59" s="123">
        <f>A55+1</f>
        <v>7</v>
      </c>
      <c r="C59" s="125" t="s">
        <v>119</v>
      </c>
      <c r="D59" s="125"/>
      <c r="E59" s="125"/>
      <c r="F59" s="125"/>
      <c r="G59" s="125"/>
      <c r="H59" s="125"/>
      <c r="I59" s="125"/>
      <c r="J59" s="125"/>
      <c r="K59" s="125"/>
      <c r="L59" s="125"/>
      <c r="M59" s="125"/>
      <c r="N59" s="125"/>
    </row>
    <row r="60" spans="1:14" s="126" customFormat="1" ht="63.75" customHeight="1" hidden="1">
      <c r="A60" s="127">
        <f>A56+1</f>
        <v>7</v>
      </c>
      <c r="B60" s="119"/>
      <c r="C60" s="120" t="s">
        <v>120</v>
      </c>
      <c r="D60" s="120"/>
      <c r="E60" s="120"/>
      <c r="F60" s="120"/>
      <c r="G60" s="120"/>
      <c r="H60" s="120"/>
      <c r="I60" s="120"/>
      <c r="J60" s="120"/>
      <c r="K60" s="120"/>
      <c r="L60" s="120"/>
      <c r="M60" s="120"/>
      <c r="N60" s="120"/>
    </row>
    <row r="61" spans="1:14" s="126" customFormat="1" ht="48" customHeight="1" hidden="1">
      <c r="A61" s="128">
        <f>A57+1</f>
        <v>7</v>
      </c>
      <c r="B61" s="121"/>
      <c r="C61" s="122" t="s">
        <v>121</v>
      </c>
      <c r="D61" s="122"/>
      <c r="E61" s="122"/>
      <c r="F61" s="122"/>
      <c r="G61" s="122"/>
      <c r="H61" s="122"/>
      <c r="I61" s="122"/>
      <c r="J61" s="122"/>
      <c r="K61" s="122"/>
      <c r="L61" s="122"/>
      <c r="M61" s="122"/>
      <c r="N61" s="122"/>
    </row>
    <row r="62" spans="1:14" s="126" customFormat="1" ht="15.75" customHeight="1" hidden="1">
      <c r="A62" s="123"/>
      <c r="C62" s="124"/>
      <c r="D62" s="124"/>
      <c r="E62" s="124"/>
      <c r="F62" s="124"/>
      <c r="G62" s="124"/>
      <c r="H62" s="124"/>
      <c r="I62" s="124"/>
      <c r="J62" s="124"/>
      <c r="K62" s="124"/>
      <c r="L62" s="124"/>
      <c r="M62" s="124"/>
      <c r="N62" s="124"/>
    </row>
    <row r="63" spans="1:14" s="126" customFormat="1" ht="31.5" customHeight="1" hidden="1">
      <c r="A63" s="123">
        <f>A59+1</f>
        <v>8</v>
      </c>
      <c r="C63" s="125" t="s">
        <v>122</v>
      </c>
      <c r="D63" s="125"/>
      <c r="E63" s="125"/>
      <c r="F63" s="125"/>
      <c r="G63" s="125"/>
      <c r="H63" s="125"/>
      <c r="I63" s="125"/>
      <c r="J63" s="125"/>
      <c r="K63" s="125"/>
      <c r="L63" s="125"/>
      <c r="M63" s="125"/>
      <c r="N63" s="125"/>
    </row>
    <row r="64" spans="1:14" s="126" customFormat="1" ht="31.5" customHeight="1" hidden="1">
      <c r="A64" s="129">
        <f>A63</f>
        <v>8</v>
      </c>
      <c r="B64" s="119"/>
      <c r="C64" s="120" t="s">
        <v>123</v>
      </c>
      <c r="D64" s="120"/>
      <c r="E64" s="120"/>
      <c r="F64" s="120"/>
      <c r="G64" s="120"/>
      <c r="H64" s="120"/>
      <c r="I64" s="120"/>
      <c r="J64" s="120"/>
      <c r="K64" s="120"/>
      <c r="L64" s="120"/>
      <c r="M64" s="120"/>
      <c r="N64" s="120"/>
    </row>
    <row r="65" spans="1:14" s="126" customFormat="1" ht="31.5" customHeight="1" hidden="1">
      <c r="A65" s="130">
        <f>A64</f>
        <v>8</v>
      </c>
      <c r="B65" s="121"/>
      <c r="C65" s="122" t="s">
        <v>124</v>
      </c>
      <c r="D65" s="122"/>
      <c r="E65" s="122"/>
      <c r="F65" s="122"/>
      <c r="G65" s="122"/>
      <c r="H65" s="122"/>
      <c r="I65" s="122"/>
      <c r="J65" s="122"/>
      <c r="K65" s="122"/>
      <c r="L65" s="122"/>
      <c r="M65" s="122"/>
      <c r="N65" s="122"/>
    </row>
    <row r="66" spans="4:13" ht="15" customHeight="1" hidden="1">
      <c r="D66" s="11"/>
      <c r="E66" s="11"/>
      <c r="F66" s="11"/>
      <c r="G66" s="11"/>
      <c r="H66" s="11"/>
      <c r="I66" s="11"/>
      <c r="J66" s="11"/>
      <c r="K66" s="11"/>
      <c r="L66" s="11"/>
      <c r="M66" s="11"/>
    </row>
    <row r="67" spans="4:13" ht="15" customHeight="1" hidden="1">
      <c r="D67" s="11"/>
      <c r="E67" s="11"/>
      <c r="F67" s="11"/>
      <c r="G67" s="11"/>
      <c r="H67" s="11"/>
      <c r="I67" s="11"/>
      <c r="J67" s="11"/>
      <c r="K67" s="11"/>
      <c r="L67" s="11"/>
      <c r="M67" s="11"/>
    </row>
    <row r="68" ht="15" hidden="1"/>
    <row r="69" ht="15" hidden="1"/>
    <row r="70" ht="15" hidden="1"/>
    <row r="71" ht="15" hidden="1"/>
    <row r="72" ht="15" hidden="1"/>
  </sheetData>
  <sheetProtection password="EF77" sheet="1" objects="1" scenarios="1"/>
  <mergeCells count="34">
    <mergeCell ref="C64:N64"/>
    <mergeCell ref="C65:N65"/>
    <mergeCell ref="C59:N59"/>
    <mergeCell ref="C60:N60"/>
    <mergeCell ref="C61:N61"/>
    <mergeCell ref="C63:N63"/>
    <mergeCell ref="C53:N53"/>
    <mergeCell ref="C55:N55"/>
    <mergeCell ref="C56:N56"/>
    <mergeCell ref="C57:N57"/>
    <mergeCell ref="C48:N48"/>
    <mergeCell ref="C49:N49"/>
    <mergeCell ref="C51:N51"/>
    <mergeCell ref="C52:N52"/>
    <mergeCell ref="C43:N43"/>
    <mergeCell ref="C44:N44"/>
    <mergeCell ref="C45:N45"/>
    <mergeCell ref="C47:N47"/>
    <mergeCell ref="C37:N37"/>
    <mergeCell ref="C39:N39"/>
    <mergeCell ref="C40:N40"/>
    <mergeCell ref="C41:N41"/>
    <mergeCell ref="C32:M32"/>
    <mergeCell ref="C33:M33"/>
    <mergeCell ref="C35:N35"/>
    <mergeCell ref="C36:N36"/>
    <mergeCell ref="C12:N12"/>
    <mergeCell ref="C14:N14"/>
    <mergeCell ref="C16:N16"/>
    <mergeCell ref="C18:N18"/>
    <mergeCell ref="C4:N4"/>
    <mergeCell ref="C6:N6"/>
    <mergeCell ref="C8:N8"/>
    <mergeCell ref="C10:N10"/>
  </mergeCells>
  <printOptions/>
  <pageMargins left="0.75" right="0.75"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G26"/>
  <sheetViews>
    <sheetView showGridLines="0" showRowColHeaders="0" zoomScale="80" zoomScaleNormal="80" workbookViewId="0" topLeftCell="A1">
      <selection activeCell="H1" sqref="H1"/>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2:12" ht="22.5" customHeight="1">
      <c r="B1" s="132" t="str">
        <f>Info!B7</f>
        <v>www.guven-kutay.ch</v>
      </c>
      <c r="G1" s="19" t="str">
        <f>IF(Info!H10&gt;2.5,"Selection of the unit",IF(Info!H10&gt;1.5,"Auswahl der Einheit :",IF(Info!H10&gt;0.5,"Birim seçimi :","")))</f>
        <v>Birim seçimi :</v>
      </c>
      <c r="H1" s="52" t="s">
        <v>3</v>
      </c>
      <c r="I1" s="21" t="str">
        <f>IF(Info!H10&gt;2.5,"m, dm, cm or mm",IF(Info!H10&gt;1.5,"m, dm, cm oder mm",IF(Info!H10&gt;0.5,"m, dm, cm veya mm","")))</f>
        <v>m, dm, cm veya mm</v>
      </c>
      <c r="L1" s="133" t="str">
        <f>Info!B9</f>
        <v>Copyright : M. G. Kutay , Ver 09.01</v>
      </c>
    </row>
    <row r="2" spans="2:12" ht="22.5" customHeight="1">
      <c r="B2"/>
      <c r="F2" s="64" t="str">
        <f>IF(Info!H10&gt;2.5,"Triangle",IF(Info!H10&gt;1.5,"Dreieck ",IF(Info!H10&gt;0.5,"Üçgen","")))</f>
        <v>Üçgen</v>
      </c>
      <c r="J2" s="16" t="s">
        <v>32</v>
      </c>
      <c r="K2" s="34">
        <f>G3*G4/2</f>
        <v>43.3</v>
      </c>
      <c r="L2" s="20" t="str">
        <f>IF($H$1="m","m2",IF($H$1="dm","dm2",IF($H$1="cm","cm2","mm2")))</f>
        <v>mm2</v>
      </c>
    </row>
    <row r="3" spans="6:26" ht="22.5" customHeight="1">
      <c r="F3" s="16" t="s">
        <v>19</v>
      </c>
      <c r="G3" s="48">
        <v>10</v>
      </c>
      <c r="H3" s="20" t="str">
        <f>IF($H$1="m","m",IF($H$1="dm","dm",IF($H$1="cm","cm","mm")))</f>
        <v>mm</v>
      </c>
      <c r="J3" s="33" t="s">
        <v>35</v>
      </c>
      <c r="K3" s="40">
        <f>G3*G4^3/36</f>
        <v>180.4060822222222</v>
      </c>
      <c r="L3" s="32" t="str">
        <f>IF($H$1="m","m4",IF($H$1="dm","dm4",IF($H$1="cm","cm4","mm4")))</f>
        <v>mm4</v>
      </c>
      <c r="N3" s="18" t="s">
        <v>26</v>
      </c>
      <c r="O3" s="34">
        <f>G3*G4^2/24</f>
        <v>31.248166666666663</v>
      </c>
      <c r="P3" s="20" t="str">
        <f>IF($H$1="m","m3",IF($H$1="dm","dm3",IF($H$1="cm","cm3","mm3")))</f>
        <v>mm3</v>
      </c>
      <c r="T3"/>
      <c r="U3"/>
      <c r="Y3" s="37"/>
      <c r="Z3" s="20"/>
    </row>
    <row r="4" spans="6:29" ht="22.5" customHeight="1">
      <c r="F4" s="16" t="s">
        <v>31</v>
      </c>
      <c r="G4" s="53">
        <v>8.66</v>
      </c>
      <c r="H4" s="20" t="str">
        <f>IF($H$1="m","m",IF($H$1="dm","dm",IF($H$1="cm","cm","mm")))</f>
        <v>mm</v>
      </c>
      <c r="J4" s="33" t="s">
        <v>36</v>
      </c>
      <c r="K4" s="40">
        <f>G3^3*G4/36</f>
        <v>240.55555555555554</v>
      </c>
      <c r="L4" s="32" t="str">
        <f>IF($H$1="m","m4",IF($H$1="dm","dm4",IF($H$1="cm","cm4","mm4")))</f>
        <v>mm4</v>
      </c>
      <c r="N4" s="18" t="s">
        <v>34</v>
      </c>
      <c r="O4" s="34">
        <f>G3^2*G4/24</f>
        <v>36.083333333333336</v>
      </c>
      <c r="P4" s="20" t="str">
        <f>IF($H$1="m","m3",IF($H$1="dm","dm3",IF($H$1="cm","cm3","mm3")))</f>
        <v>mm3</v>
      </c>
      <c r="R4" s="24"/>
      <c r="S4" s="37"/>
      <c r="T4" s="20"/>
      <c r="V4" s="37"/>
      <c r="W4" s="20"/>
      <c r="Y4" s="37"/>
      <c r="Z4" s="20"/>
      <c r="AB4" s="37"/>
      <c r="AC4" s="20"/>
    </row>
    <row r="5" spans="6:23" ht="22.5" customHeight="1">
      <c r="F5" s="58"/>
      <c r="G5" s="56"/>
      <c r="H5" s="57"/>
      <c r="I5" s="58"/>
      <c r="J5" s="65" t="s">
        <v>37</v>
      </c>
      <c r="K5" s="66">
        <f>G3*G4^3/12</f>
        <v>541.2182466666667</v>
      </c>
      <c r="L5" s="58" t="str">
        <f>IF($H$1="m","m4",IF($H$1="dm","dm4",IF($H$1="cm","cm4","mm4")))</f>
        <v>mm4</v>
      </c>
      <c r="M5" s="56"/>
      <c r="N5" s="65" t="s">
        <v>38</v>
      </c>
      <c r="O5" s="66">
        <f>G3*G4^3/4</f>
        <v>1623.65474</v>
      </c>
      <c r="P5" s="58" t="str">
        <f>IF($H$1="m","m4",IF($H$1="dm","dm4",IF($H$1="cm","cm4","mm4")))</f>
        <v>mm4</v>
      </c>
      <c r="Q5" s="31"/>
      <c r="S5" s="37"/>
      <c r="T5" s="20"/>
      <c r="V5" s="37"/>
      <c r="W5" s="20"/>
    </row>
    <row r="6" spans="6:29" s="25" customFormat="1" ht="22.5" customHeight="1">
      <c r="F6" s="63" t="str">
        <f>IF(Info!H10&gt;2.5,"Isosceles triangle",IF(Info!H10&gt;1.5,"Gleichschenkliges Dreieck ",IF(Info!H10&gt;0.5,"Eşkenar üçgen","")))</f>
        <v>Eşkenar üçgen</v>
      </c>
      <c r="G6" s="68"/>
      <c r="H6" s="68"/>
      <c r="I6" s="68"/>
      <c r="J6" s="67" t="s">
        <v>32</v>
      </c>
      <c r="K6" s="69">
        <f>0.433*G7^2</f>
        <v>43.3</v>
      </c>
      <c r="L6" s="62" t="str">
        <f>IF($H$1="m","m2",IF($H$1="dm","dm2",IF($H$1="cm","cm2","mm2")))</f>
        <v>mm2</v>
      </c>
      <c r="M6" s="68"/>
      <c r="N6" s="16" t="s">
        <v>21</v>
      </c>
      <c r="O6" s="34">
        <f>0.5*G7</f>
        <v>5</v>
      </c>
      <c r="P6" s="20" t="str">
        <f>IF($H$1="m","m",IF($H$1="dm","dm",IF($H$1="cm","cm","mm")))</f>
        <v>mm</v>
      </c>
      <c r="S6" s="38"/>
      <c r="T6" s="26"/>
      <c r="V6" s="38"/>
      <c r="W6" s="26"/>
      <c r="Y6" s="38"/>
      <c r="Z6" s="26"/>
      <c r="AB6" s="38"/>
      <c r="AC6" s="26"/>
    </row>
    <row r="7" spans="6:17" ht="22.5" customHeight="1">
      <c r="F7" s="72" t="s">
        <v>19</v>
      </c>
      <c r="G7" s="73">
        <v>10</v>
      </c>
      <c r="H7" s="32" t="str">
        <f>IF($H$1="m","m",IF($H$1="dm","dm",IF($H$1="cm","cm","mm")))</f>
        <v>mm</v>
      </c>
      <c r="J7" s="18" t="s">
        <v>39</v>
      </c>
      <c r="K7" s="34">
        <f>0.01804*G7^4</f>
        <v>180.4</v>
      </c>
      <c r="L7" s="20" t="str">
        <f>IF($H$1="m","m4",IF($H$1="dm","dm4",IF($H$1="cm","cm4","mm4")))</f>
        <v>mm4</v>
      </c>
      <c r="N7" s="18" t="s">
        <v>26</v>
      </c>
      <c r="O7" s="34">
        <f>0.03125*G7^3</f>
        <v>31.25</v>
      </c>
      <c r="P7" s="20" t="str">
        <f>IF($H$1="m","m3",IF($H$1="dm","dm3",IF($H$1="cm","cm3","mm3")))</f>
        <v>mm3</v>
      </c>
      <c r="Q7" s="31"/>
    </row>
    <row r="8" spans="6:29" ht="22.5" customHeight="1">
      <c r="F8" s="16" t="s">
        <v>31</v>
      </c>
      <c r="G8" s="34">
        <f>0.866*G7</f>
        <v>8.66</v>
      </c>
      <c r="H8" s="20" t="str">
        <f>IF($H$1="m","m",IF($H$1="dm","dm",IF($H$1="cm","cm","mm")))</f>
        <v>mm</v>
      </c>
      <c r="J8" s="16" t="s">
        <v>9</v>
      </c>
      <c r="K8" s="34">
        <f>0.2887*G7</f>
        <v>2.887</v>
      </c>
      <c r="L8" s="20" t="str">
        <f>IF($H$1="m","m",IF($H$1="dm","dm",IF($H$1="cm","cm","mm")))</f>
        <v>mm</v>
      </c>
      <c r="N8" s="18" t="s">
        <v>34</v>
      </c>
      <c r="O8" s="34">
        <f>0.03608*G7^3</f>
        <v>36.08</v>
      </c>
      <c r="P8" s="20" t="str">
        <f>IF($H$1="m","m3",IF($H$1="dm","dm3",IF($H$1="cm","cm3","mm3")))</f>
        <v>mm3</v>
      </c>
      <c r="Q8" s="64"/>
      <c r="R8" s="55"/>
      <c r="V8" s="39"/>
      <c r="W8" s="32"/>
      <c r="X8" s="31"/>
      <c r="Y8" s="39"/>
      <c r="Z8" s="32"/>
      <c r="AA8" s="31"/>
      <c r="AB8" s="39"/>
      <c r="AC8" s="32"/>
    </row>
    <row r="9" spans="2:17" ht="9.75" customHeight="1">
      <c r="B9" s="56"/>
      <c r="C9" s="56"/>
      <c r="D9" s="56"/>
      <c r="E9" s="57"/>
      <c r="F9" s="58"/>
      <c r="G9" s="56"/>
      <c r="H9" s="57"/>
      <c r="I9" s="58"/>
      <c r="J9" s="56"/>
      <c r="K9" s="57"/>
      <c r="L9" s="58"/>
      <c r="M9" s="56"/>
      <c r="N9" s="57"/>
      <c r="O9" s="58"/>
      <c r="P9" s="59"/>
      <c r="Q9" s="29"/>
    </row>
    <row r="10" spans="2:29" ht="9.75" customHeight="1">
      <c r="B10" s="60"/>
      <c r="C10" s="60"/>
      <c r="D10" s="60"/>
      <c r="E10" s="61"/>
      <c r="F10" s="62"/>
      <c r="G10" s="60"/>
      <c r="H10" s="61"/>
      <c r="I10" s="62"/>
      <c r="J10" s="60"/>
      <c r="K10" s="61"/>
      <c r="L10" s="62"/>
      <c r="M10" s="60"/>
      <c r="N10" s="61"/>
      <c r="O10" s="62"/>
      <c r="P10" s="63"/>
      <c r="Q10" s="28"/>
      <c r="R10" s="16"/>
      <c r="S10" s="37"/>
      <c r="T10" s="20"/>
      <c r="V10" s="37"/>
      <c r="W10" s="20"/>
      <c r="Y10" s="37"/>
      <c r="Z10" s="20"/>
      <c r="AB10" s="37"/>
      <c r="AC10" s="20"/>
    </row>
    <row r="11" spans="2:18" ht="22.5" customHeight="1">
      <c r="B11"/>
      <c r="F11" s="30" t="str">
        <f>IF(Info!H10&gt;2.5,"Rhombus ",IF(Info!H10&gt;1.5,"Rhombus (Raute)",IF(Info!H10&gt;0.5,"Rombus","")))</f>
        <v>Rombus</v>
      </c>
      <c r="J11" s="16" t="s">
        <v>32</v>
      </c>
      <c r="K11" s="34">
        <f>G12*G13/2</f>
        <v>300</v>
      </c>
      <c r="L11" s="20" t="str">
        <f>IF($H$1="m","m2",IF($H$1="dm","dm2",IF($H$1="cm","cm2","mm2")))</f>
        <v>mm2</v>
      </c>
      <c r="R11"/>
    </row>
    <row r="12" spans="1:19" ht="22.5" customHeight="1">
      <c r="A12"/>
      <c r="B12"/>
      <c r="C12"/>
      <c r="D12"/>
      <c r="E12"/>
      <c r="F12" s="16" t="s">
        <v>19</v>
      </c>
      <c r="G12" s="48">
        <v>30</v>
      </c>
      <c r="H12" s="20" t="str">
        <f>IF($H$1="m","m",IF($H$1="dm","dm",IF($H$1="cm","cm","mm")))</f>
        <v>mm</v>
      </c>
      <c r="J12" s="18" t="s">
        <v>35</v>
      </c>
      <c r="K12" s="34">
        <f>G12*G13^3/48</f>
        <v>5000</v>
      </c>
      <c r="L12" s="20" t="str">
        <f>IF($H$1="m","m4",IF($H$1="dm","dm4",IF($H$1="cm","cm4","mm4")))</f>
        <v>mm4</v>
      </c>
      <c r="Q12"/>
      <c r="R12" s="31"/>
      <c r="S12" s="31"/>
    </row>
    <row r="13" spans="2:19" ht="22.5" customHeight="1">
      <c r="B13" s="31"/>
      <c r="C13" s="31"/>
      <c r="D13" s="31"/>
      <c r="E13" s="39"/>
      <c r="F13" s="16" t="s">
        <v>24</v>
      </c>
      <c r="G13" s="53">
        <v>20</v>
      </c>
      <c r="H13" s="20" t="str">
        <f>IF($H$1="m","m",IF($H$1="dm","dm",IF($H$1="cm","cm","mm")))</f>
        <v>mm</v>
      </c>
      <c r="I13" s="32"/>
      <c r="J13" s="16" t="s">
        <v>9</v>
      </c>
      <c r="K13" s="34">
        <f>G13/2</f>
        <v>10</v>
      </c>
      <c r="L13" s="20" t="str">
        <f>IF($H$1="m","m",IF($H$1="dm","dm",IF($H$1="cm","cm","mm")))</f>
        <v>mm</v>
      </c>
      <c r="M13" s="31"/>
      <c r="N13" s="33" t="s">
        <v>26</v>
      </c>
      <c r="O13" s="40">
        <f>G12*G13^2/24</f>
        <v>500</v>
      </c>
      <c r="P13" s="32" t="str">
        <f>IF($H$1="m","m3",IF($H$1="dm","dm3",IF($H$1="cm","cm3","mm3")))</f>
        <v>mm3</v>
      </c>
      <c r="Q13" s="31"/>
      <c r="R13" s="31"/>
      <c r="S13" s="31"/>
    </row>
    <row r="14" spans="10:26" ht="22.5" customHeight="1">
      <c r="J14" s="18" t="s">
        <v>36</v>
      </c>
      <c r="K14" s="34">
        <f>G12^3*G13/48</f>
        <v>11250</v>
      </c>
      <c r="L14" s="20" t="str">
        <f>IF($H$1="m","m4",IF($H$1="dm","dm4",IF($H$1="cm","cm4","mm4")))</f>
        <v>mm4</v>
      </c>
      <c r="V14" s="37"/>
      <c r="Z14" s="20"/>
    </row>
    <row r="15" spans="10:32" ht="22.5" customHeight="1">
      <c r="J15" s="16" t="s">
        <v>21</v>
      </c>
      <c r="K15" s="34">
        <f>G12/2</f>
        <v>15</v>
      </c>
      <c r="L15" s="20" t="str">
        <f>IF($H$1="m","m",IF($H$1="dm","dm",IF($H$1="cm","cm","mm")))</f>
        <v>mm</v>
      </c>
      <c r="N15" s="33" t="s">
        <v>34</v>
      </c>
      <c r="O15" s="40">
        <f>G12^2*G13/24</f>
        <v>750</v>
      </c>
      <c r="P15" s="32" t="str">
        <f>IF($H$1="m","m3",IF($H$1="dm","dm3",IF($H$1="cm","cm3","mm3")))</f>
        <v>mm3</v>
      </c>
      <c r="V15" s="37"/>
      <c r="W15" s="20"/>
      <c r="Y15" s="37"/>
      <c r="Z15" s="20"/>
      <c r="AB15" s="37"/>
      <c r="AC15" s="20"/>
      <c r="AE15" s="37"/>
      <c r="AF15" s="20"/>
    </row>
    <row r="16" spans="19:29" ht="22.5" customHeight="1">
      <c r="S16" s="29"/>
      <c r="T16" s="29"/>
      <c r="AB16" s="37"/>
      <c r="AC16" s="20"/>
    </row>
    <row r="17" spans="1:33" s="64" customFormat="1" ht="9.75" customHeight="1">
      <c r="A17" s="22"/>
      <c r="B17" s="56"/>
      <c r="C17" s="56"/>
      <c r="D17" s="56"/>
      <c r="E17" s="57"/>
      <c r="F17" s="58"/>
      <c r="G17" s="56"/>
      <c r="H17" s="57"/>
      <c r="I17" s="58"/>
      <c r="J17" s="56"/>
      <c r="K17" s="57"/>
      <c r="L17" s="58"/>
      <c r="M17" s="56"/>
      <c r="N17" s="57"/>
      <c r="O17" s="58"/>
      <c r="P17" s="59"/>
      <c r="Q17" s="29"/>
      <c r="S17" s="31"/>
      <c r="T17" s="31"/>
      <c r="U17" s="31"/>
      <c r="V17" s="39"/>
      <c r="W17" s="32"/>
      <c r="Y17" s="70"/>
      <c r="Z17" s="71"/>
      <c r="AG17" s="31"/>
    </row>
    <row r="18" spans="1:32" s="31" customFormat="1" ht="9.75" customHeight="1">
      <c r="A18" s="22"/>
      <c r="B18" s="60"/>
      <c r="C18" s="60"/>
      <c r="D18" s="60"/>
      <c r="E18" s="61"/>
      <c r="F18" s="62"/>
      <c r="G18" s="60"/>
      <c r="H18" s="61"/>
      <c r="I18" s="62"/>
      <c r="J18" s="60"/>
      <c r="K18" s="61"/>
      <c r="L18" s="62"/>
      <c r="M18" s="60"/>
      <c r="N18" s="61"/>
      <c r="O18" s="62"/>
      <c r="P18" s="63"/>
      <c r="Q18" s="28"/>
      <c r="S18"/>
      <c r="T18"/>
      <c r="V18" s="39"/>
      <c r="W18" s="32"/>
      <c r="Y18" s="39"/>
      <c r="Z18" s="32"/>
      <c r="AB18" s="39"/>
      <c r="AC18" s="32"/>
      <c r="AE18" s="39"/>
      <c r="AF18" s="32"/>
    </row>
    <row r="19" spans="2:15" ht="22.5" customHeight="1">
      <c r="B19"/>
      <c r="C19" s="31"/>
      <c r="D19" s="31"/>
      <c r="E19" s="39"/>
      <c r="F19" s="71" t="str">
        <f>IF(Info!H10&gt;2.5,"Rectangle",IF(Info!H10&gt;1.5,"Rechteck ",IF(Info!H10&gt;0.5,"Dikdörtgen","")))</f>
        <v>Dikdörtgen</v>
      </c>
      <c r="G19" s="31"/>
      <c r="H19" s="39"/>
      <c r="I19" s="32"/>
      <c r="J19" s="31"/>
      <c r="K19" s="39"/>
      <c r="L19" s="32"/>
      <c r="M19" s="31"/>
      <c r="N19" s="39"/>
      <c r="O19" s="32"/>
    </row>
    <row r="20" spans="2:12" ht="22.5" customHeight="1">
      <c r="B20"/>
      <c r="C20"/>
      <c r="F20" s="16" t="s">
        <v>19</v>
      </c>
      <c r="G20" s="48">
        <v>30</v>
      </c>
      <c r="H20" s="20" t="str">
        <f>IF($H$1="m","m",IF($H$1="dm","dm",IF($H$1="cm","cm","mm")))</f>
        <v>mm</v>
      </c>
      <c r="J20" s="16" t="s">
        <v>32</v>
      </c>
      <c r="K20" s="34">
        <f>G20*G21</f>
        <v>600</v>
      </c>
      <c r="L20" s="20" t="str">
        <f>IF($H$1="m","m2",IF($H$1="dm","dm2",IF($H$1="cm","cm2","mm2")))</f>
        <v>mm2</v>
      </c>
    </row>
    <row r="21" spans="6:13" ht="22.5" customHeight="1">
      <c r="F21" s="16" t="s">
        <v>24</v>
      </c>
      <c r="G21" s="53">
        <v>20</v>
      </c>
      <c r="H21" s="20" t="str">
        <f>IF($H$1="m","m",IF($H$1="dm","dm",IF($H$1="cm","cm","mm")))</f>
        <v>mm</v>
      </c>
      <c r="J21" s="18" t="s">
        <v>35</v>
      </c>
      <c r="K21" s="34">
        <f>G20*G21^3/12</f>
        <v>20000</v>
      </c>
      <c r="L21" s="20" t="str">
        <f>IF($H$1="m","m4",IF($H$1="dm","dm4",IF($H$1="cm","cm4","mm4")))</f>
        <v>mm4</v>
      </c>
      <c r="M21" s="47"/>
    </row>
    <row r="22" spans="2:17" ht="22.5" customHeight="1">
      <c r="B22" s="29"/>
      <c r="C22" s="29"/>
      <c r="F22" s="22"/>
      <c r="G22" s="37"/>
      <c r="H22" s="20"/>
      <c r="I22" s="22"/>
      <c r="J22" s="16" t="s">
        <v>9</v>
      </c>
      <c r="K22" s="34">
        <f>G21/2</f>
        <v>10</v>
      </c>
      <c r="L22" s="20" t="str">
        <f>IF($H$1="m","m",IF($H$1="dm","dm",IF($H$1="cm","cm","mm")))</f>
        <v>mm</v>
      </c>
      <c r="M22" s="37"/>
      <c r="N22" s="33" t="s">
        <v>26</v>
      </c>
      <c r="O22" s="40">
        <f>G20*G21^2/6</f>
        <v>2000</v>
      </c>
      <c r="P22" s="32" t="str">
        <f>IF($H$1="m","m3",IF($H$1="dm","dm3",IF($H$1="cm","cm3","mm3")))</f>
        <v>mm3</v>
      </c>
      <c r="Q22" s="31"/>
    </row>
    <row r="23" spans="6:12" ht="22.5" customHeight="1">
      <c r="F23" s="33" t="s">
        <v>36</v>
      </c>
      <c r="G23" s="40">
        <f>G20^3*G21/3</f>
        <v>180000</v>
      </c>
      <c r="H23" s="32" t="str">
        <f>IF($H$1="m","m4",IF($H$1="dm","dm4",IF($H$1="cm","cm4","mm4")))</f>
        <v>mm4</v>
      </c>
      <c r="J23" s="18" t="s">
        <v>36</v>
      </c>
      <c r="K23" s="34">
        <f>G20^3*G21/12</f>
        <v>45000</v>
      </c>
      <c r="L23" s="20" t="str">
        <f>IF($H$1="m","m4",IF($H$1="dm","dm4",IF($H$1="cm","cm4","mm4")))</f>
        <v>mm4</v>
      </c>
    </row>
    <row r="24" spans="6:17" ht="22.5" customHeight="1">
      <c r="F24" s="33" t="s">
        <v>37</v>
      </c>
      <c r="G24" s="40">
        <f>G20*G21^3/3</f>
        <v>80000</v>
      </c>
      <c r="H24" s="32" t="str">
        <f>IF($H$1="m","m4",IF($H$1="dm","dm4",IF($H$1="cm","cm4","mm4")))</f>
        <v>mm4</v>
      </c>
      <c r="I24" s="22"/>
      <c r="J24" s="16" t="s">
        <v>21</v>
      </c>
      <c r="K24" s="34">
        <f>G20/2</f>
        <v>15</v>
      </c>
      <c r="L24" s="20" t="str">
        <f>IF($H$1="m","m",IF($H$1="dm","dm",IF($H$1="cm","cm","mm")))</f>
        <v>mm</v>
      </c>
      <c r="M24" s="37"/>
      <c r="N24" s="33" t="s">
        <v>34</v>
      </c>
      <c r="O24" s="40">
        <f>G20^2*G21/6</f>
        <v>3000</v>
      </c>
      <c r="P24" s="32" t="str">
        <f>IF($H$1="m","m3",IF($H$1="dm","dm3",IF($H$1="cm","cm3","mm3")))</f>
        <v>mm3</v>
      </c>
      <c r="Q24" s="20"/>
    </row>
    <row r="25" spans="1:5" ht="22.5" customHeight="1">
      <c r="A25" s="31"/>
      <c r="B25" s="31"/>
      <c r="C25" s="31"/>
      <c r="D25" s="31"/>
      <c r="E25" s="39"/>
    </row>
    <row r="26" spans="1:18" ht="22.5" customHeight="1">
      <c r="A26" s="31"/>
      <c r="B26" s="31"/>
      <c r="C26" s="31"/>
      <c r="D26" s="31"/>
      <c r="E26" s="39"/>
      <c r="F26" s="32"/>
      <c r="G26" s="31"/>
      <c r="H26" s="39"/>
      <c r="I26" s="32"/>
      <c r="M26" s="31"/>
      <c r="N26" s="39"/>
      <c r="O26" s="32"/>
      <c r="P26" s="31"/>
      <c r="Q26" s="31"/>
      <c r="R26" s="31"/>
    </row>
    <row r="27" ht="22.5" customHeight="1"/>
    <row r="28" ht="22.5" customHeight="1"/>
    <row r="29" ht="22.5" customHeight="1"/>
    <row r="30" ht="22.5" customHeight="1"/>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EF77"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6 L22 L13" formula="1"/>
  </ignoredErrors>
  <drawing r:id="rId4"/>
  <legacyDrawing r:id="rId3"/>
  <oleObjects>
    <oleObject progId="AutoCAD.Drawing.15" shapeId="750271" r:id="rId1"/>
    <oleObject progId="AutoCAD.Drawing.15" shapeId="811329" r:id="rId2"/>
  </oleObjects>
</worksheet>
</file>

<file path=xl/worksheets/sheet4.xml><?xml version="1.0" encoding="utf-8"?>
<worksheet xmlns="http://schemas.openxmlformats.org/spreadsheetml/2006/main" xmlns:r="http://schemas.openxmlformats.org/officeDocument/2006/relationships">
  <dimension ref="A1:AG27"/>
  <sheetViews>
    <sheetView showGridLines="0" showRowColHeaders="0" zoomScale="80" zoomScaleNormal="80" workbookViewId="0" topLeftCell="A1">
      <selection activeCell="G8" sqref="G8"/>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c r="F2" s="64" t="str">
        <f>IF(Info!H10&gt;2.5,"Rectangle, inside inane ",IF(Info!H10&gt;1.5,"Rechteck, innen leer ",IF(Info!H10&gt;0.5,"Dikdörtgen, ortası boş","")))</f>
        <v>Dikdörtgen, ortası boş</v>
      </c>
      <c r="J2" s="16"/>
      <c r="K2"/>
    </row>
    <row r="3" spans="6:30" ht="22.5" customHeight="1">
      <c r="F3" s="16" t="s">
        <v>19</v>
      </c>
      <c r="G3" s="48">
        <v>20</v>
      </c>
      <c r="H3" s="20" t="str">
        <f>IF($H$1="m","m",IF($H$1="dm","dm",IF($H$1="cm","cm","mm")))</f>
        <v>cm</v>
      </c>
      <c r="J3" s="16" t="s">
        <v>32</v>
      </c>
      <c r="K3" s="34">
        <f>G3*(G4-G5)</f>
        <v>400</v>
      </c>
      <c r="L3" s="20" t="str">
        <f>IF($H$1="m","m2",IF($H$1="dm","dm2",IF($H$1="cm","cm2","mm2")))</f>
        <v>cm2</v>
      </c>
      <c r="N3" s="18"/>
      <c r="O3"/>
      <c r="P3" s="20"/>
      <c r="S3" s="24"/>
      <c r="T3" s="37"/>
      <c r="U3" s="20"/>
      <c r="W3" s="37"/>
      <c r="X3" s="20"/>
      <c r="Z3" s="37"/>
      <c r="AA3" s="20"/>
      <c r="AC3" s="37"/>
      <c r="AD3" s="20"/>
    </row>
    <row r="4" spans="6:18" ht="22.5" customHeight="1">
      <c r="F4" s="16" t="s">
        <v>40</v>
      </c>
      <c r="G4" s="53">
        <v>30</v>
      </c>
      <c r="H4" s="20" t="str">
        <f>IF($H$1="m","m",IF($H$1="dm","dm",IF($H$1="cm","cm","mm")))</f>
        <v>cm</v>
      </c>
      <c r="J4" s="18" t="s">
        <v>35</v>
      </c>
      <c r="K4" s="34">
        <f>G3*(G4^3-G5^3)/12</f>
        <v>43333.333333333336</v>
      </c>
      <c r="L4" s="20" t="str">
        <f>IF($H$1="m","m4",IF($H$1="dm","dm4",IF($H$1="cm","cm4","mm4")))</f>
        <v>cm4</v>
      </c>
      <c r="R4" s="24"/>
    </row>
    <row r="5" spans="6:30" ht="22.5" customHeight="1">
      <c r="F5" s="72" t="s">
        <v>24</v>
      </c>
      <c r="G5" s="74">
        <v>10</v>
      </c>
      <c r="H5" s="32" t="str">
        <f>IF($H$1="m","m",IF($H$1="dm","dm",IF($H$1="cm","cm","mm")))</f>
        <v>cm</v>
      </c>
      <c r="I5" s="32"/>
      <c r="J5" s="16" t="s">
        <v>9</v>
      </c>
      <c r="K5" s="34">
        <f>G4/2</f>
        <v>15</v>
      </c>
      <c r="L5" s="20" t="str">
        <f>IF($H$1="m","m",IF($H$1="dm","dm",IF($H$1="cm","cm","mm")))</f>
        <v>cm</v>
      </c>
      <c r="M5" s="31"/>
      <c r="N5" s="33" t="s">
        <v>26</v>
      </c>
      <c r="O5" s="40">
        <f>G3*(G4^3-G5^3)/6/G4</f>
        <v>2888.888888888889</v>
      </c>
      <c r="P5" s="20" t="str">
        <f>IF($H$1="m","m3",IF($H$1="dm","dm3",IF($H$1="cm","cm3","mm3")))</f>
        <v>cm3</v>
      </c>
      <c r="Q5" s="31"/>
      <c r="S5" s="25"/>
      <c r="T5" s="38"/>
      <c r="U5" s="26"/>
      <c r="V5" s="25"/>
      <c r="W5" s="38"/>
      <c r="X5" s="26"/>
      <c r="Y5" s="25"/>
      <c r="Z5" s="38"/>
      <c r="AA5" s="26"/>
      <c r="AB5" s="25"/>
      <c r="AC5" s="38"/>
      <c r="AD5" s="26"/>
    </row>
    <row r="6" spans="6:24" s="25" customFormat="1" ht="22.5" customHeight="1">
      <c r="F6"/>
      <c r="G6"/>
      <c r="H6"/>
      <c r="I6"/>
      <c r="J6" s="18" t="s">
        <v>36</v>
      </c>
      <c r="K6" s="34">
        <f>G3^3*(G4-G5)/12</f>
        <v>13333.333333333334</v>
      </c>
      <c r="L6" s="20" t="str">
        <f>IF($H$1="m","m4",IF($H$1="dm","dm4",IF($H$1="cm","cm4","mm4")))</f>
        <v>cm4</v>
      </c>
      <c r="M6"/>
      <c r="S6" s="31"/>
      <c r="T6" s="39"/>
      <c r="U6" s="32"/>
      <c r="V6" s="31"/>
      <c r="W6" s="39"/>
      <c r="X6" s="32"/>
    </row>
    <row r="7" spans="6:17" ht="22.5" customHeight="1">
      <c r="F7"/>
      <c r="G7"/>
      <c r="H7"/>
      <c r="I7"/>
      <c r="J7" s="16" t="s">
        <v>21</v>
      </c>
      <c r="K7" s="34">
        <f>G3/2</f>
        <v>10</v>
      </c>
      <c r="L7" s="20" t="str">
        <f>IF($H$1="m","m",IF($H$1="dm","dm",IF($H$1="cm","cm","mm")))</f>
        <v>cm</v>
      </c>
      <c r="M7"/>
      <c r="N7" s="33" t="s">
        <v>34</v>
      </c>
      <c r="O7" s="40">
        <f>G3^2*(G4-G5)/6</f>
        <v>1333.3333333333333</v>
      </c>
      <c r="P7" s="20" t="str">
        <f>IF($H$1="m","m3",IF($H$1="dm","dm3",IF($H$1="cm","cm3","mm3")))</f>
        <v>cm3</v>
      </c>
      <c r="Q7" s="31"/>
    </row>
    <row r="8" spans="6:29" ht="22.5" customHeight="1">
      <c r="F8"/>
      <c r="G8"/>
      <c r="H8"/>
      <c r="I8"/>
      <c r="M8"/>
      <c r="N8"/>
      <c r="O8"/>
      <c r="P8"/>
      <c r="Q8" s="64"/>
      <c r="R8" s="55"/>
      <c r="V8" s="39"/>
      <c r="W8" s="32"/>
      <c r="X8" s="31"/>
      <c r="Y8" s="39"/>
      <c r="Z8" s="32"/>
      <c r="AA8" s="31"/>
      <c r="AB8" s="39"/>
      <c r="AC8" s="32"/>
    </row>
    <row r="9" spans="2:17" ht="9.75" customHeight="1">
      <c r="B9" s="56"/>
      <c r="C9" s="56"/>
      <c r="D9" s="56"/>
      <c r="E9" s="57"/>
      <c r="F9" s="58"/>
      <c r="G9" s="56"/>
      <c r="H9" s="57"/>
      <c r="I9" s="58"/>
      <c r="J9" s="56"/>
      <c r="K9" s="57"/>
      <c r="L9" s="58"/>
      <c r="M9" s="56"/>
      <c r="N9" s="57"/>
      <c r="O9" s="58"/>
      <c r="P9" s="59"/>
      <c r="Q9" s="29"/>
    </row>
    <row r="10" spans="2:29" ht="9.75" customHeight="1">
      <c r="B10" s="60"/>
      <c r="C10" s="60"/>
      <c r="D10" s="60"/>
      <c r="E10" s="61"/>
      <c r="F10" s="62"/>
      <c r="G10" s="60"/>
      <c r="H10" s="61"/>
      <c r="I10" s="62"/>
      <c r="J10" s="60"/>
      <c r="K10" s="61"/>
      <c r="L10" s="62"/>
      <c r="M10" s="60"/>
      <c r="N10" s="61"/>
      <c r="O10" s="62"/>
      <c r="P10" s="63"/>
      <c r="Q10" s="28"/>
      <c r="R10" s="16"/>
      <c r="S10" s="37"/>
      <c r="T10" s="20"/>
      <c r="V10" s="37"/>
      <c r="W10" s="20"/>
      <c r="Y10" s="37"/>
      <c r="Z10" s="20"/>
      <c r="AB10" s="37"/>
      <c r="AC10" s="20"/>
    </row>
    <row r="11" spans="2:16" ht="22.5" customHeight="1">
      <c r="B11"/>
      <c r="F11" s="30" t="str">
        <f>IF(Info!H10&gt;2.5,"Quadrat ",IF(Info!H10&gt;1.5,"Quadrat",IF(Info!H10&gt;0.5,"Kare","")))</f>
        <v>Kare</v>
      </c>
      <c r="J11"/>
      <c r="K11"/>
      <c r="L11"/>
      <c r="M11"/>
      <c r="N11"/>
      <c r="O11"/>
      <c r="P11"/>
    </row>
    <row r="12" spans="1:19" ht="22.5" customHeight="1">
      <c r="A12"/>
      <c r="B12"/>
      <c r="C12"/>
      <c r="D12"/>
      <c r="E12"/>
      <c r="F12" s="16" t="s">
        <v>24</v>
      </c>
      <c r="G12" s="48">
        <v>30</v>
      </c>
      <c r="H12" s="20" t="str">
        <f>IF($H$1="m","m",IF($H$1="dm","dm",IF($H$1="cm","cm","mm")))</f>
        <v>cm</v>
      </c>
      <c r="I12" s="29"/>
      <c r="J12" s="16" t="s">
        <v>32</v>
      </c>
      <c r="K12" s="34">
        <f>G12^2</f>
        <v>900</v>
      </c>
      <c r="L12" s="20" t="str">
        <f>IF($H$1="m","m2",IF($H$1="dm","dm2",IF($H$1="cm","cm2","mm2")))</f>
        <v>cm2</v>
      </c>
      <c r="M12" s="31"/>
      <c r="N12" s="29"/>
      <c r="S12" s="31"/>
    </row>
    <row r="13" spans="2:19" ht="22.5" customHeight="1">
      <c r="B13" s="31"/>
      <c r="C13" s="31"/>
      <c r="D13" s="31"/>
      <c r="E13" s="39"/>
      <c r="F13" s="22"/>
      <c r="G13" s="37"/>
      <c r="H13" s="20"/>
      <c r="I13" s="22"/>
      <c r="J13" s="18" t="s">
        <v>46</v>
      </c>
      <c r="K13" s="34">
        <f>G12^4/12</f>
        <v>67500</v>
      </c>
      <c r="L13" s="20" t="str">
        <f>IF($H$1="m","m4",IF($H$1="dm","dm4",IF($H$1="cm","cm4","mm4")))</f>
        <v>cm4</v>
      </c>
      <c r="M13" s="37"/>
      <c r="Q13" s="20"/>
      <c r="R13" s="31"/>
      <c r="S13" s="31"/>
    </row>
    <row r="14" spans="9:26" ht="22.5" customHeight="1">
      <c r="I14" s="29"/>
      <c r="J14" s="16" t="s">
        <v>57</v>
      </c>
      <c r="K14" s="34">
        <f>G12/2</f>
        <v>15</v>
      </c>
      <c r="L14" s="20" t="str">
        <f>IF($H$1="m","m",IF($H$1="dm","dm",IF($H$1="cm","cm","mm")))</f>
        <v>cm</v>
      </c>
      <c r="N14" s="18" t="s">
        <v>47</v>
      </c>
      <c r="O14" s="34">
        <f>G12^3/6</f>
        <v>4500</v>
      </c>
      <c r="P14" s="20" t="str">
        <f>IF($H$1="m","m3",IF($H$1="dm","dm3",IF($H$1="cm","cm3","mm3")))</f>
        <v>cm3</v>
      </c>
      <c r="V14" s="37"/>
      <c r="Z14" s="20"/>
    </row>
    <row r="15" spans="6:32" ht="22.5" customHeight="1">
      <c r="F15" s="22"/>
      <c r="G15" s="37"/>
      <c r="H15" s="20"/>
      <c r="I15" s="22"/>
      <c r="J15" s="18" t="s">
        <v>48</v>
      </c>
      <c r="K15" s="34">
        <f>G12^4/12</f>
        <v>67500</v>
      </c>
      <c r="L15" s="20" t="str">
        <f>IF($H$1="m","m4",IF($H$1="dm","dm4",IF($H$1="cm","cm4","mm4")))</f>
        <v>cm4</v>
      </c>
      <c r="Q15" s="20"/>
      <c r="V15" s="37"/>
      <c r="W15" s="20"/>
      <c r="Y15" s="37"/>
      <c r="Z15" s="20"/>
      <c r="AB15" s="37"/>
      <c r="AC15" s="20"/>
      <c r="AE15" s="37"/>
      <c r="AF15" s="20"/>
    </row>
    <row r="16" spans="9:29" ht="22.5" customHeight="1">
      <c r="I16" s="28"/>
      <c r="J16" s="16" t="s">
        <v>72</v>
      </c>
      <c r="K16" s="34">
        <f>G12/2*(2)^0.5</f>
        <v>21.213203435596427</v>
      </c>
      <c r="L16" s="20" t="str">
        <f>IF($H$1="m","m",IF($H$1="dm","dm",IF($H$1="cm","cm","mm")))</f>
        <v>cm</v>
      </c>
      <c r="M16" s="37"/>
      <c r="N16" s="18" t="s">
        <v>90</v>
      </c>
      <c r="O16" s="34">
        <f>G12^3/12*(2)^0.5</f>
        <v>3181.980515339464</v>
      </c>
      <c r="P16" s="20" t="str">
        <f>IF($H$1="m","m3",IF($H$1="dm","dm3",IF($H$1="cm","cm3","mm3")))</f>
        <v>cm3</v>
      </c>
      <c r="S16" s="29"/>
      <c r="T16" s="29"/>
      <c r="AB16" s="37"/>
      <c r="AC16" s="20"/>
    </row>
    <row r="17" spans="22:32" ht="22.5" customHeight="1">
      <c r="V17" s="37"/>
      <c r="W17" s="20"/>
      <c r="Y17" s="37"/>
      <c r="Z17" s="20"/>
      <c r="AB17" s="37"/>
      <c r="AC17" s="20"/>
      <c r="AE17" s="37"/>
      <c r="AF17" s="20"/>
    </row>
    <row r="18" spans="1:33" s="64" customFormat="1" ht="9.75" customHeight="1">
      <c r="A18" s="22"/>
      <c r="B18" s="56"/>
      <c r="C18" s="56"/>
      <c r="D18" s="56"/>
      <c r="E18" s="57"/>
      <c r="F18" s="58"/>
      <c r="G18" s="56"/>
      <c r="H18" s="57"/>
      <c r="I18" s="58"/>
      <c r="J18" s="56"/>
      <c r="K18" s="57"/>
      <c r="L18" s="58"/>
      <c r="M18" s="56"/>
      <c r="N18" s="57"/>
      <c r="O18" s="58"/>
      <c r="P18" s="59"/>
      <c r="Q18" s="29"/>
      <c r="S18" s="31"/>
      <c r="T18" s="31"/>
      <c r="U18" s="31"/>
      <c r="V18" s="39"/>
      <c r="W18" s="32"/>
      <c r="Y18" s="70"/>
      <c r="Z18" s="71"/>
      <c r="AG18" s="31"/>
    </row>
    <row r="19" spans="1:32" s="31" customFormat="1" ht="9.75" customHeight="1">
      <c r="A19" s="22"/>
      <c r="B19" s="60"/>
      <c r="C19" s="60"/>
      <c r="D19" s="60"/>
      <c r="E19" s="61"/>
      <c r="F19" s="62"/>
      <c r="G19" s="60"/>
      <c r="H19" s="61"/>
      <c r="I19" s="62"/>
      <c r="J19" s="60"/>
      <c r="K19" s="61"/>
      <c r="L19" s="62"/>
      <c r="M19" s="60"/>
      <c r="N19" s="61"/>
      <c r="O19" s="62"/>
      <c r="P19" s="63"/>
      <c r="Q19" s="28"/>
      <c r="S19"/>
      <c r="T19"/>
      <c r="V19" s="39"/>
      <c r="W19" s="32"/>
      <c r="Y19" s="39"/>
      <c r="Z19" s="32"/>
      <c r="AB19" s="39"/>
      <c r="AC19" s="32"/>
      <c r="AE19" s="39"/>
      <c r="AF19" s="32"/>
    </row>
    <row r="20" spans="2:18" ht="22.5" customHeight="1">
      <c r="B20"/>
      <c r="C20" s="31"/>
      <c r="D20" s="31"/>
      <c r="E20" s="39"/>
      <c r="F20" s="71" t="str">
        <f>IF(Info!H10&gt;2.5,"Quadrat, hollow",IF(Info!H10&gt;1.5,"Quadrat, hohl",IF(Info!H10&gt;0.5,"Kaval kare","")))</f>
        <v>Kaval kare</v>
      </c>
      <c r="G20" s="31"/>
      <c r="H20" s="39"/>
      <c r="I20" s="32"/>
      <c r="J20" s="31"/>
      <c r="K20" s="39"/>
      <c r="L20" s="32"/>
      <c r="M20" s="31"/>
      <c r="N20" s="39"/>
      <c r="O20" s="32"/>
      <c r="R20"/>
    </row>
    <row r="21" spans="2:14" ht="22.5" customHeight="1">
      <c r="B21"/>
      <c r="C21"/>
      <c r="F21" s="16" t="s">
        <v>40</v>
      </c>
      <c r="G21" s="48">
        <v>6</v>
      </c>
      <c r="H21" s="20" t="str">
        <f>IF($H$1="m","m",IF($H$1="dm","dm",IF($H$1="cm","cm","mm")))</f>
        <v>cm</v>
      </c>
      <c r="J21" s="16" t="s">
        <v>32</v>
      </c>
      <c r="K21" s="34">
        <f>G21^2-G22^2</f>
        <v>27</v>
      </c>
      <c r="L21" s="20" t="str">
        <f>IF($H$1="m","m2",IF($H$1="dm","dm2",IF($H$1="cm","cm2","mm2")))</f>
        <v>cm2</v>
      </c>
      <c r="N21" s="29"/>
    </row>
    <row r="22" spans="6:17" ht="22.5" customHeight="1">
      <c r="F22" s="16" t="s">
        <v>24</v>
      </c>
      <c r="G22" s="48">
        <v>3</v>
      </c>
      <c r="H22" s="20" t="str">
        <f>IF($H$1="m","m",IF($H$1="dm","dm",IF($H$1="cm","cm","mm")))</f>
        <v>cm</v>
      </c>
      <c r="I22" s="22"/>
      <c r="J22" s="18" t="s">
        <v>46</v>
      </c>
      <c r="K22" s="34">
        <f>(G21^4-G22^4)/12</f>
        <v>101.25</v>
      </c>
      <c r="L22" s="20" t="str">
        <f>IF($H$1="m","m4",IF($H$1="dm","dm4",IF($H$1="cm","cm4","mm4")))</f>
        <v>cm4</v>
      </c>
      <c r="M22" s="37"/>
      <c r="Q22" s="20"/>
    </row>
    <row r="23" spans="2:16" ht="22.5" customHeight="1">
      <c r="B23" s="29"/>
      <c r="C23" s="29"/>
      <c r="I23" s="29"/>
      <c r="J23" s="16" t="s">
        <v>57</v>
      </c>
      <c r="K23" s="34">
        <f>G21/2</f>
        <v>3</v>
      </c>
      <c r="L23" s="20" t="str">
        <f>IF($H$1="m","m",IF($H$1="dm","dm",IF($H$1="cm","cm","mm")))</f>
        <v>cm</v>
      </c>
      <c r="N23" s="18" t="s">
        <v>47</v>
      </c>
      <c r="O23" s="34">
        <f>(G21^4-G22^4)/6/G21</f>
        <v>33.75</v>
      </c>
      <c r="P23" s="20" t="str">
        <f>IF($H$1="m","m3",IF($H$1="dm","dm3",IF($H$1="cm","cm3","mm3")))</f>
        <v>cm3</v>
      </c>
    </row>
    <row r="24" spans="6:12" ht="22.5" customHeight="1">
      <c r="F24" s="22"/>
      <c r="G24" s="37"/>
      <c r="H24" s="20"/>
      <c r="I24" s="22"/>
      <c r="J24" s="18" t="s">
        <v>48</v>
      </c>
      <c r="K24" s="34">
        <f>(G21^4-G22^4)/12</f>
        <v>101.25</v>
      </c>
      <c r="L24" s="20" t="str">
        <f>IF($H$1="m","m4",IF($H$1="dm","dm4",IF($H$1="cm","cm4","mm4")))</f>
        <v>cm4</v>
      </c>
    </row>
    <row r="25" spans="9:16" ht="22.5" customHeight="1">
      <c r="I25" s="28"/>
      <c r="J25" s="16" t="s">
        <v>73</v>
      </c>
      <c r="K25" s="34">
        <f>G21/2*(2)^0.5</f>
        <v>4.242640687119286</v>
      </c>
      <c r="L25" s="20" t="str">
        <f>IF($H$1="m","m",IF($H$1="dm","dm",IF($H$1="cm","cm","mm")))</f>
        <v>cm</v>
      </c>
      <c r="N25" s="18" t="s">
        <v>49</v>
      </c>
      <c r="O25" s="34">
        <f>(G21^4-G22^4)/12/G21*(2)^0.5</f>
        <v>23.86485386504598</v>
      </c>
      <c r="P25" s="20" t="str">
        <f>IF($H$1="m","m3",IF($H$1="dm","dm3",IF($H$1="cm","cm3","mm3")))</f>
        <v>cm3</v>
      </c>
    </row>
    <row r="26" spans="1:5" ht="22.5" customHeight="1">
      <c r="A26" s="31"/>
      <c r="B26" s="31"/>
      <c r="C26" s="31"/>
      <c r="D26" s="31"/>
      <c r="E26" s="39"/>
    </row>
    <row r="27" spans="1:18" ht="22.5" customHeight="1">
      <c r="A27" s="31"/>
      <c r="B27" s="31"/>
      <c r="C27" s="31"/>
      <c r="D27" s="31"/>
      <c r="E27" s="39"/>
      <c r="F27" s="32"/>
      <c r="G27" s="31"/>
      <c r="H27" s="39"/>
      <c r="I27" s="32"/>
      <c r="J27" s="31"/>
      <c r="K27" s="39"/>
      <c r="L27" s="32"/>
      <c r="M27" s="31"/>
      <c r="N27" s="39"/>
      <c r="O27" s="32"/>
      <c r="P27" s="31"/>
      <c r="Q27" s="31"/>
      <c r="R27" s="31"/>
    </row>
    <row r="28" ht="22.5" customHeight="1"/>
    <row r="29" ht="22.5" customHeight="1"/>
    <row r="30" ht="22.5" customHeight="1"/>
    <row r="31" ht="22.5" customHeight="1"/>
    <row r="32" ht="22.5" customHeight="1"/>
    <row r="33" ht="22.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legacyDrawing r:id="rId4"/>
  <oleObjects>
    <oleObject progId="AutoCAD.Drawing.15" shapeId="330799" r:id="rId1"/>
    <oleObject progId="AutoCAD.Drawing.15" shapeId="364560" r:id="rId2"/>
    <oleObject progId="AutoCAD.Drawing.15" shapeId="375084" r:id="rId3"/>
  </oleObjects>
</worksheet>
</file>

<file path=xl/worksheets/sheet5.xml><?xml version="1.0" encoding="utf-8"?>
<worksheet xmlns="http://schemas.openxmlformats.org/spreadsheetml/2006/main" xmlns:r="http://schemas.openxmlformats.org/officeDocument/2006/relationships">
  <dimension ref="A1:AG27"/>
  <sheetViews>
    <sheetView showGridLines="0" showRowColHeaders="0" zoomScale="80" zoomScaleNormal="80" workbookViewId="0" topLeftCell="A1">
      <selection activeCell="G6" sqref="G6"/>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IF(Info!H10&gt;2.5,"Rectangle, inside inane ",IF(Info!H10&gt;1.5,"Rechteck, innen leer ",IF(Info!H10&gt;0.5,"Dikdörtgen, ortası boş","")))</f>
        <v>Dikdörtgen, ortası boş</v>
      </c>
      <c r="J2" s="16"/>
      <c r="K2" s="1"/>
    </row>
    <row r="3" spans="6:30" ht="22.5" customHeight="1">
      <c r="F3" s="16" t="s">
        <v>40</v>
      </c>
      <c r="G3" s="48">
        <v>6</v>
      </c>
      <c r="H3" s="20" t="str">
        <f>IF($H$1="m","m",IF($H$1="dm","dm",IF($H$1="cm","cm","mm")))</f>
        <v>cm</v>
      </c>
      <c r="J3" s="16" t="s">
        <v>32</v>
      </c>
      <c r="K3" s="34">
        <f>G3^2-PI()*G4^2/4</f>
        <v>28.931416529422965</v>
      </c>
      <c r="L3" s="20" t="str">
        <f>IF($H$1="m","m2",IF($H$1="dm","dm2",IF($H$1="cm","cm2","mm2")))</f>
        <v>cm2</v>
      </c>
      <c r="S3" s="24"/>
      <c r="T3" s="37"/>
      <c r="U3" s="20"/>
      <c r="W3" s="37"/>
      <c r="X3" s="20"/>
      <c r="Z3" s="37"/>
      <c r="AA3" s="20"/>
      <c r="AC3" s="37"/>
      <c r="AD3" s="20"/>
    </row>
    <row r="4" spans="6:17" ht="22.5" customHeight="1">
      <c r="F4" s="16" t="s">
        <v>43</v>
      </c>
      <c r="G4" s="48">
        <v>3</v>
      </c>
      <c r="H4" s="20" t="str">
        <f>IF($H$1="m","m",IF($H$1="dm","dm",IF($H$1="cm","cm","mm")))</f>
        <v>cm</v>
      </c>
      <c r="I4" s="22"/>
      <c r="J4" s="18" t="s">
        <v>41</v>
      </c>
      <c r="K4" s="34">
        <f>(G3^4-3*PI()*(G4/2)^4)/12</f>
        <v>104.02392179780043</v>
      </c>
      <c r="L4" s="20" t="str">
        <f>IF($H$1="m","m4",IF($H$1="dm","dm4",IF($H$1="cm","cm4","mm4")))</f>
        <v>cm4</v>
      </c>
      <c r="M4" s="37"/>
      <c r="Q4" s="24"/>
    </row>
    <row r="5" spans="9:30" ht="22.5" customHeight="1">
      <c r="I5" s="29"/>
      <c r="J5" s="16" t="s">
        <v>57</v>
      </c>
      <c r="K5" s="34">
        <f>G3/2</f>
        <v>3</v>
      </c>
      <c r="L5" s="20" t="str">
        <f>IF($H$1="m","m",IF($H$1="dm","dm",IF($H$1="cm","cm","mm")))</f>
        <v>cm</v>
      </c>
      <c r="N5" s="18" t="s">
        <v>92</v>
      </c>
      <c r="O5" s="34">
        <f>(G3^4-3*PI()*G4^4/16)/6/G3</f>
        <v>34.67464059926681</v>
      </c>
      <c r="P5" s="20" t="str">
        <f>IF($H$1="m","m3",IF($H$1="dm","dm3",IF($H$1="cm","cm3","mm3")))</f>
        <v>cm3</v>
      </c>
      <c r="S5" s="25"/>
      <c r="T5" s="38"/>
      <c r="U5" s="26"/>
      <c r="V5" s="25"/>
      <c r="W5" s="38"/>
      <c r="X5" s="26"/>
      <c r="Y5" s="25"/>
      <c r="Z5" s="38"/>
      <c r="AA5" s="26"/>
      <c r="AB5" s="25"/>
      <c r="AC5" s="38"/>
      <c r="AD5" s="26"/>
    </row>
    <row r="6" spans="6:24" s="25" customFormat="1" ht="22.5" customHeight="1">
      <c r="F6" s="22"/>
      <c r="G6" s="37"/>
      <c r="H6" s="20"/>
      <c r="I6" s="22"/>
      <c r="J6" s="18" t="s">
        <v>42</v>
      </c>
      <c r="K6" s="34">
        <f>(G3^4-3*PI()*G4^4/16)/12</f>
        <v>104.02392179780043</v>
      </c>
      <c r="L6" s="20" t="str">
        <f>IF($H$1="m","m4",IF($H$1="dm","dm4",IF($H$1="cm","cm4","mm4")))</f>
        <v>cm4</v>
      </c>
      <c r="N6" s="37"/>
      <c r="O6" s="20"/>
      <c r="P6" s="22"/>
      <c r="Q6" s="20"/>
      <c r="S6" s="31"/>
      <c r="T6" s="1"/>
      <c r="U6" s="32"/>
      <c r="V6" s="31"/>
      <c r="W6" s="39"/>
      <c r="X6" s="32"/>
    </row>
    <row r="7" spans="9:16" ht="22.5" customHeight="1">
      <c r="I7" s="28"/>
      <c r="J7" s="16" t="s">
        <v>71</v>
      </c>
      <c r="K7" s="34">
        <f>G3/2*(2)^0.5</f>
        <v>4.242640687119286</v>
      </c>
      <c r="L7" s="20" t="str">
        <f>IF($H$1="m","m",IF($H$1="dm","dm",IF($H$1="cm","cm","mm")))</f>
        <v>cm</v>
      </c>
      <c r="N7" s="18" t="s">
        <v>91</v>
      </c>
      <c r="O7" s="34">
        <f>K4/(2)^2/G3*2</f>
        <v>8.668660149816702</v>
      </c>
      <c r="P7" s="20" t="str">
        <f>IF($H$1="m","m3",IF($H$1="dm","dm3",IF($H$1="cm","cm3","mm3")))</f>
        <v>cm3</v>
      </c>
    </row>
    <row r="8" spans="6:29" ht="22.5" customHeight="1">
      <c r="F8" s="1"/>
      <c r="G8" s="1"/>
      <c r="H8" s="1"/>
      <c r="I8" s="1"/>
      <c r="J8" s="1"/>
      <c r="K8" s="1"/>
      <c r="L8" s="1"/>
      <c r="M8" s="1"/>
      <c r="N8" s="1"/>
      <c r="O8" s="1"/>
      <c r="P8" s="1"/>
      <c r="Q8" s="64"/>
      <c r="R8" s="55"/>
      <c r="V8" s="39"/>
      <c r="W8" s="32"/>
      <c r="X8" s="31"/>
      <c r="Y8" s="39"/>
      <c r="Z8" s="32"/>
      <c r="AA8" s="31"/>
      <c r="AB8" s="39"/>
      <c r="AC8" s="32"/>
    </row>
    <row r="9" spans="2:17" ht="9.75" customHeight="1">
      <c r="B9" s="56"/>
      <c r="C9" s="56"/>
      <c r="D9" s="56"/>
      <c r="E9" s="57"/>
      <c r="F9" s="58"/>
      <c r="G9" s="56"/>
      <c r="H9" s="57"/>
      <c r="I9" s="58"/>
      <c r="J9" s="56"/>
      <c r="K9" s="57"/>
      <c r="L9" s="58"/>
      <c r="M9" s="56"/>
      <c r="N9" s="57"/>
      <c r="O9" s="58"/>
      <c r="P9" s="59"/>
      <c r="Q9" s="29"/>
    </row>
    <row r="10" spans="2:29" ht="9.75" customHeight="1">
      <c r="B10" s="60"/>
      <c r="C10" s="60"/>
      <c r="D10" s="60"/>
      <c r="E10" s="61"/>
      <c r="F10" s="62"/>
      <c r="G10" s="60"/>
      <c r="H10" s="61"/>
      <c r="I10" s="62"/>
      <c r="J10" s="60"/>
      <c r="K10" s="61"/>
      <c r="L10" s="62"/>
      <c r="M10" s="60"/>
      <c r="N10" s="61"/>
      <c r="O10" s="62"/>
      <c r="P10" s="63"/>
      <c r="Q10" s="28"/>
      <c r="R10" s="16"/>
      <c r="S10" s="37"/>
      <c r="T10" s="20"/>
      <c r="V10" s="37"/>
      <c r="W10" s="20"/>
      <c r="Y10" s="37"/>
      <c r="Z10" s="20"/>
      <c r="AB10" s="37"/>
      <c r="AC10" s="20"/>
    </row>
    <row r="11" spans="2:16" ht="22.5" customHeight="1">
      <c r="B11" s="1"/>
      <c r="F11" s="30" t="str">
        <f>IF(Info!H10&gt;2.5,"Hexagon ",IF(Info!H10&gt;1.5,"Sechseck",IF(Info!H10&gt;0.5,"Altıköşe","")))</f>
        <v>Altıköşe</v>
      </c>
      <c r="J11" s="1"/>
      <c r="K11" s="1"/>
      <c r="L11" s="1"/>
      <c r="M11" s="1"/>
      <c r="N11" s="1"/>
      <c r="P11" s="1"/>
    </row>
    <row r="12" spans="1:19" ht="22.5" customHeight="1">
      <c r="A12" s="1"/>
      <c r="B12" s="1"/>
      <c r="C12" s="1"/>
      <c r="D12" s="1"/>
      <c r="E12" s="1"/>
      <c r="F12" s="16" t="s">
        <v>44</v>
      </c>
      <c r="G12" s="48">
        <v>20</v>
      </c>
      <c r="H12" s="20" t="str">
        <f>IF($H$1="m","m",IF($H$1="dm","dm",IF($H$1="cm","cm","mm")))</f>
        <v>cm</v>
      </c>
      <c r="J12" s="16" t="s">
        <v>32</v>
      </c>
      <c r="K12" s="34">
        <f>(3)^0.5/2*G13^2</f>
        <v>1039.2304845413262</v>
      </c>
      <c r="L12" s="20" t="str">
        <f>IF($H$1="m","m2",IF($H$1="dm","dm2",IF($H$1="cm","cm2","mm2")))</f>
        <v>cm2</v>
      </c>
      <c r="N12" s="29"/>
      <c r="S12" s="31"/>
    </row>
    <row r="13" spans="2:19" ht="22.5" customHeight="1">
      <c r="B13" s="31"/>
      <c r="C13" s="31"/>
      <c r="D13" s="31"/>
      <c r="E13" s="39"/>
      <c r="F13" s="16" t="s">
        <v>24</v>
      </c>
      <c r="G13" s="34">
        <f>2*SIN(60*PI()/180)*G12</f>
        <v>34.64101615137754</v>
      </c>
      <c r="H13" s="20" t="str">
        <f>IF($H$1="m","m",IF($H$1="dm","dm",IF($H$1="cm","cm","mm")))</f>
        <v>cm</v>
      </c>
      <c r="I13" s="22"/>
      <c r="J13" s="18" t="s">
        <v>41</v>
      </c>
      <c r="K13" s="34">
        <f>5*(3)^0.5*G13^4/144</f>
        <v>86602.54037844384</v>
      </c>
      <c r="L13" s="20" t="str">
        <f>IF($H$1="m","m4",IF($H$1="dm","dm4",IF($H$1="cm","cm4","mm4")))</f>
        <v>cm4</v>
      </c>
      <c r="M13" s="30"/>
      <c r="R13" s="31"/>
      <c r="S13" s="31"/>
    </row>
    <row r="14" spans="9:26" ht="22.5" customHeight="1">
      <c r="I14" s="29"/>
      <c r="J14" s="16" t="s">
        <v>9</v>
      </c>
      <c r="K14" s="34">
        <f>G13/2</f>
        <v>17.32050807568877</v>
      </c>
      <c r="L14" s="20" t="str">
        <f>IF($H$1="m","m",IF($H$1="dm","dm",IF($H$1="cm","cm","mm")))</f>
        <v>cm</v>
      </c>
      <c r="N14" s="18" t="s">
        <v>93</v>
      </c>
      <c r="O14" s="34">
        <f>5*(3)^0.5*G13^3/72</f>
        <v>4999.999999999997</v>
      </c>
      <c r="P14" s="20" t="str">
        <f>IF($H$1="m","m3",IF($H$1="dm","dm3",IF($H$1="cm","cm3","mm3")))</f>
        <v>cm3</v>
      </c>
      <c r="V14" s="37"/>
      <c r="Z14" s="20"/>
    </row>
    <row r="15" spans="6:32" ht="22.5" customHeight="1">
      <c r="F15" s="22"/>
      <c r="G15" s="37"/>
      <c r="H15" s="20"/>
      <c r="I15" s="22"/>
      <c r="J15" s="18" t="s">
        <v>42</v>
      </c>
      <c r="K15" s="34">
        <f>5*(3)^0.5*G13^4/144</f>
        <v>86602.54037844384</v>
      </c>
      <c r="L15" s="20" t="str">
        <f>IF($H$1="m","m4",IF($H$1="dm","dm4",IF($H$1="cm","cm4","mm4")))</f>
        <v>cm4</v>
      </c>
      <c r="M15" s="20"/>
      <c r="Q15" s="20"/>
      <c r="V15" s="37"/>
      <c r="W15" s="20"/>
      <c r="Y15" s="37"/>
      <c r="Z15" s="20"/>
      <c r="AB15" s="37"/>
      <c r="AC15" s="20"/>
      <c r="AE15" s="37"/>
      <c r="AF15" s="20"/>
    </row>
    <row r="16" spans="9:29" ht="22.5" customHeight="1">
      <c r="I16" s="28"/>
      <c r="J16" s="16" t="s">
        <v>10</v>
      </c>
      <c r="K16" s="34">
        <f>G12</f>
        <v>20</v>
      </c>
      <c r="L16" s="20" t="str">
        <f>IF($H$1="m","m",IF($H$1="dm","dm",IF($H$1="cm","cm","mm")))</f>
        <v>cm</v>
      </c>
      <c r="N16" s="18" t="s">
        <v>94</v>
      </c>
      <c r="O16" s="34">
        <f>5/48*G13^3</f>
        <v>4330.127018922192</v>
      </c>
      <c r="P16" s="20" t="str">
        <f>IF($H$1="m","m3",IF($H$1="dm","dm3",IF($H$1="cm","cm3","mm3")))</f>
        <v>cm3</v>
      </c>
      <c r="S16" s="29"/>
      <c r="T16" s="29"/>
      <c r="AB16" s="37"/>
      <c r="AC16" s="20"/>
    </row>
    <row r="17" spans="6:32" ht="22.5" customHeight="1">
      <c r="F17" s="1"/>
      <c r="G17" s="1"/>
      <c r="H17" s="1"/>
      <c r="I17" s="1"/>
      <c r="M17" s="1"/>
      <c r="N17" s="1"/>
      <c r="O17" s="1"/>
      <c r="P17" s="1"/>
      <c r="V17" s="37"/>
      <c r="W17" s="20"/>
      <c r="Y17" s="37"/>
      <c r="Z17" s="20"/>
      <c r="AB17" s="37"/>
      <c r="AC17" s="20"/>
      <c r="AE17" s="37"/>
      <c r="AF17" s="20"/>
    </row>
    <row r="18" spans="1:33" s="64" customFormat="1" ht="9.75" customHeight="1">
      <c r="A18" s="22"/>
      <c r="B18" s="56"/>
      <c r="C18" s="56"/>
      <c r="D18" s="56"/>
      <c r="E18" s="57"/>
      <c r="F18" s="58"/>
      <c r="G18" s="56"/>
      <c r="H18" s="57"/>
      <c r="I18" s="58"/>
      <c r="J18" s="56"/>
      <c r="K18" s="57"/>
      <c r="L18" s="58"/>
      <c r="M18" s="56"/>
      <c r="N18" s="57"/>
      <c r="O18" s="58"/>
      <c r="P18" s="59"/>
      <c r="Q18" s="29"/>
      <c r="S18" s="31"/>
      <c r="T18" s="31"/>
      <c r="U18" s="31"/>
      <c r="V18" s="39"/>
      <c r="W18" s="32"/>
      <c r="Y18" s="70"/>
      <c r="Z18" s="71"/>
      <c r="AG18" s="31"/>
    </row>
    <row r="19" spans="1:32" s="31" customFormat="1" ht="9.75" customHeight="1">
      <c r="A19" s="22"/>
      <c r="B19" s="60"/>
      <c r="C19" s="60"/>
      <c r="D19" s="60"/>
      <c r="E19" s="61"/>
      <c r="F19" s="62"/>
      <c r="G19" s="60"/>
      <c r="H19" s="61"/>
      <c r="I19" s="62"/>
      <c r="J19" s="60"/>
      <c r="K19" s="61"/>
      <c r="L19" s="62"/>
      <c r="M19" s="60"/>
      <c r="N19" s="61"/>
      <c r="O19" s="62"/>
      <c r="P19" s="63"/>
      <c r="Q19" s="28"/>
      <c r="S19" s="1"/>
      <c r="T19" s="1"/>
      <c r="V19" s="39"/>
      <c r="W19" s="32"/>
      <c r="Y19" s="39"/>
      <c r="Z19" s="32"/>
      <c r="AB19" s="39"/>
      <c r="AC19" s="32"/>
      <c r="AE19" s="39"/>
      <c r="AF19" s="32"/>
    </row>
    <row r="20" spans="2:18" ht="22.5" customHeight="1">
      <c r="B20" s="1"/>
      <c r="C20" s="31"/>
      <c r="D20" s="31"/>
      <c r="E20" s="39"/>
      <c r="F20" s="71" t="str">
        <f>IF(Info!H10&gt;2.5,"Octagon ",IF(Info!H10&gt;1.5,"Achteck",IF(Info!H10&gt;0.5,"Sekizköşe","")))</f>
        <v>Sekizköşe</v>
      </c>
      <c r="G20" s="31"/>
      <c r="I20" s="32"/>
      <c r="J20" s="16" t="s">
        <v>32</v>
      </c>
      <c r="K20" s="34">
        <f>0.8284*G22^2</f>
        <v>331.36</v>
      </c>
      <c r="L20" s="20" t="str">
        <f>IF($H$1="m","m2",IF($H$1="dm","dm2",IF($H$1="cm","cm2","mm2")))</f>
        <v>cm2</v>
      </c>
      <c r="M20" s="47"/>
      <c r="N20" s="29"/>
      <c r="R20" s="1"/>
    </row>
    <row r="21" spans="2:13" ht="22.5" customHeight="1">
      <c r="B21" s="1"/>
      <c r="C21" s="1"/>
      <c r="F21" s="16" t="s">
        <v>45</v>
      </c>
      <c r="G21" s="48">
        <v>8.28</v>
      </c>
      <c r="H21" s="20" t="str">
        <f>IF($H$1="m","m",IF($H$1="dm","dm",IF($H$1="cm","cm","mm")))</f>
        <v>cm</v>
      </c>
      <c r="J21" s="18" t="s">
        <v>46</v>
      </c>
      <c r="K21" s="34">
        <f>0.05473*G22^4</f>
        <v>8756.8</v>
      </c>
      <c r="L21" s="20" t="str">
        <f>IF($H$1="m","m4",IF($H$1="dm","dm4",IF($H$1="cm","cm4","mm4")))</f>
        <v>cm4</v>
      </c>
      <c r="M21" s="37"/>
    </row>
    <row r="22" spans="6:17" ht="22.5" customHeight="1">
      <c r="F22" s="72" t="s">
        <v>24</v>
      </c>
      <c r="G22" s="40">
        <v>20</v>
      </c>
      <c r="H22" s="32" t="str">
        <f>IF($H$1="m","m",IF($H$1="dm","dm",IF($H$1="cm","cm","mm")))</f>
        <v>cm</v>
      </c>
      <c r="I22" s="31"/>
      <c r="J22" s="16" t="s">
        <v>74</v>
      </c>
      <c r="K22" s="34">
        <f>G22/2</f>
        <v>10</v>
      </c>
      <c r="L22" s="20" t="str">
        <f>IF($H$1="m","m",IF($H$1="dm","dm",IF($H$1="cm","cm","mm")))</f>
        <v>cm</v>
      </c>
      <c r="N22" s="18" t="s">
        <v>47</v>
      </c>
      <c r="O22" s="34">
        <f>0.1095*G22^3</f>
        <v>876</v>
      </c>
      <c r="P22" s="20" t="str">
        <f>IF($H$1="m","m3",IF($H$1="dm","dm3",IF($H$1="cm","cm3","mm3")))</f>
        <v>cm3</v>
      </c>
      <c r="Q22" s="20"/>
    </row>
    <row r="23" spans="2:12" ht="22.5" customHeight="1">
      <c r="B23" s="29"/>
      <c r="C23" s="29"/>
      <c r="F23" s="72" t="s">
        <v>24</v>
      </c>
      <c r="G23" s="73">
        <v>20</v>
      </c>
      <c r="H23" s="32" t="str">
        <f>IF($H$1="m","m",IF($H$1="dm","dm",IF($H$1="cm","cm","mm")))</f>
        <v>cm</v>
      </c>
      <c r="I23" s="32"/>
      <c r="J23" s="18" t="s">
        <v>48</v>
      </c>
      <c r="K23" s="34">
        <f>K21</f>
        <v>8756.8</v>
      </c>
      <c r="L23" s="20" t="str">
        <f>IF($H$1="m","m4",IF($H$1="dm","dm4",IF($H$1="cm","cm4","mm4")))</f>
        <v>cm4</v>
      </c>
    </row>
    <row r="24" spans="6:16" ht="22.5" customHeight="1">
      <c r="F24" s="72" t="s">
        <v>45</v>
      </c>
      <c r="G24" s="40">
        <f>G23/(1+(2)^0.5)</f>
        <v>8.284271247461902</v>
      </c>
      <c r="H24" s="32" t="str">
        <f>IF($H$1="m","m",IF($H$1="dm","dm",IF($H$1="cm","cm","mm")))</f>
        <v>cm</v>
      </c>
      <c r="I24" s="31"/>
      <c r="J24" s="72" t="s">
        <v>71</v>
      </c>
      <c r="K24" s="40">
        <f>0.5*(G21^2+G22^2)^0.5</f>
        <v>10.823104914949313</v>
      </c>
      <c r="L24" s="32" t="str">
        <f>IF($H$1="m","m",IF($H$1="dm","dm",IF($H$1="cm","cm","mm")))</f>
        <v>cm</v>
      </c>
      <c r="N24" s="18" t="s">
        <v>49</v>
      </c>
      <c r="O24" s="34">
        <f>0.10107*G22^3</f>
        <v>808.56</v>
      </c>
      <c r="P24" s="20" t="str">
        <f>IF($H$1="m","m3",IF($H$1="dm","dm3",IF($H$1="cm","cm3","mm3")))</f>
        <v>cm3</v>
      </c>
    </row>
    <row r="25" spans="6:16" ht="22.5" customHeight="1">
      <c r="F25" s="83" t="str">
        <f>IF(Info!H10&gt;2.5,"If h is known, s is computed and entered. If sb is known, h is computed and entered.",IF(Info!H10&gt;1.5,"Wenn h bekant ist wird s berechnet und eingegeben. Wenn s bekant ist wird h berechnet und eingegeben.",IF(Info!H10&gt;0.5,"Eğer h verilmişse buradan s hesaplanır ve verilir. Eğer s verilmişse h hesaplanır ve verilir.","")))</f>
        <v>Eğer h verilmişse buradan s hesaplanır ve verilir. Eğer s verilmişse h hesaplanır ve verilir.</v>
      </c>
      <c r="G25" s="83"/>
      <c r="H25" s="83"/>
      <c r="I25" s="83"/>
      <c r="J25" s="83"/>
      <c r="K25" s="83"/>
      <c r="L25" s="83"/>
      <c r="M25" s="83"/>
      <c r="N25" s="83"/>
      <c r="O25" s="83"/>
      <c r="P25" s="83"/>
    </row>
    <row r="26" spans="1:16" ht="22.5" customHeight="1">
      <c r="A26" s="31"/>
      <c r="B26" s="31"/>
      <c r="C26" s="31"/>
      <c r="D26" s="31"/>
      <c r="E26" s="39"/>
      <c r="F26" s="83"/>
      <c r="G26" s="83"/>
      <c r="H26" s="83"/>
      <c r="I26" s="83"/>
      <c r="J26" s="83"/>
      <c r="K26" s="83"/>
      <c r="L26" s="83"/>
      <c r="M26" s="83"/>
      <c r="N26" s="83"/>
      <c r="O26" s="83"/>
      <c r="P26" s="83"/>
    </row>
    <row r="27" spans="1:18" ht="22.5" customHeight="1">
      <c r="A27" s="31"/>
      <c r="B27" s="31"/>
      <c r="C27" s="31"/>
      <c r="D27" s="31"/>
      <c r="E27" s="39"/>
      <c r="F27" s="32"/>
      <c r="G27" s="31"/>
      <c r="H27" s="39"/>
      <c r="I27" s="32"/>
      <c r="J27" s="31"/>
      <c r="K27" s="39"/>
      <c r="L27" s="32"/>
      <c r="M27" s="31"/>
      <c r="N27" s="39"/>
      <c r="O27" s="32"/>
      <c r="P27" s="31"/>
      <c r="Q27" s="31"/>
      <c r="R27" s="31"/>
    </row>
    <row r="28" ht="22.5" customHeight="1"/>
    <row r="29" ht="22.5" customHeight="1"/>
    <row r="30" ht="22.5" customHeight="1"/>
    <row r="31" ht="22.5" customHeight="1"/>
    <row r="32" ht="22.5" customHeight="1"/>
    <row r="33" ht="22.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password="DBE4" sheet="1" objects="1" scenarios="1"/>
  <mergeCells count="1">
    <mergeCell ref="F25:P26"/>
  </mergeCells>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5 L14:L15" formula="1"/>
  </ignoredErrors>
  <legacyDrawing r:id="rId4"/>
  <oleObjects>
    <oleObject progId="AutoCAD.Drawing.15" shapeId="424269" r:id="rId1"/>
    <oleObject progId="AutoCAD.Drawing.15" shapeId="791453" r:id="rId2"/>
    <oleObject progId="AutoCAD.Drawing.15" shapeId="810776" r:id="rId3"/>
  </oleObjects>
</worksheet>
</file>

<file path=xl/worksheets/sheet6.xml><?xml version="1.0" encoding="utf-8"?>
<worksheet xmlns="http://schemas.openxmlformats.org/spreadsheetml/2006/main" xmlns:r="http://schemas.openxmlformats.org/officeDocument/2006/relationships">
  <dimension ref="A1:AG26"/>
  <sheetViews>
    <sheetView showGridLines="0" showRowColHeaders="0" zoomScale="80" zoomScaleNormal="80" workbookViewId="0" topLeftCell="A1">
      <selection activeCell="I22" sqref="I22"/>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IF(Info!H10&gt;2.5,"Trapeze ",IF(Info!H10&gt;1.5,"Trapez",IF(Info!H10&gt;0.5,"Yamuk","")))</f>
        <v>Yamuk</v>
      </c>
      <c r="J2" s="16"/>
      <c r="K2" s="1"/>
    </row>
    <row r="3" spans="6:30" ht="22.5" customHeight="1">
      <c r="F3" s="16" t="s">
        <v>50</v>
      </c>
      <c r="G3" s="51">
        <v>60</v>
      </c>
      <c r="H3" s="20" t="str">
        <f>IF($H$1="m","m",IF($H$1="dm","dm",IF($H$1="cm","cm","mm")))</f>
        <v>cm</v>
      </c>
      <c r="J3" s="16" t="s">
        <v>32</v>
      </c>
      <c r="K3" s="34">
        <f>G5*(G3+G4)/2</f>
        <v>1500</v>
      </c>
      <c r="L3" s="20" t="str">
        <f>IF($H$1="m","m2",IF($H$1="dm","dm2",IF($H$1="cm","cm2","mm2")))</f>
        <v>cm2</v>
      </c>
      <c r="S3" s="24"/>
      <c r="T3" s="37"/>
      <c r="U3" s="20"/>
      <c r="W3" s="37"/>
      <c r="X3" s="20"/>
      <c r="Z3" s="37"/>
      <c r="AA3" s="20"/>
      <c r="AC3" s="37"/>
      <c r="AD3" s="20"/>
    </row>
    <row r="4" spans="6:17" ht="22.5" customHeight="1">
      <c r="F4" s="16" t="s">
        <v>19</v>
      </c>
      <c r="G4" s="51">
        <v>40</v>
      </c>
      <c r="H4" s="20" t="str">
        <f>IF($H$1="m","m",IF($H$1="dm","dm",IF($H$1="cm","cm","mm")))</f>
        <v>cm</v>
      </c>
      <c r="I4" s="22"/>
      <c r="J4" s="18" t="s">
        <v>35</v>
      </c>
      <c r="K4" s="23">
        <f>G5^3/36*(G3^2+4*G3*G4+G4^2)/(G3+G4)</f>
        <v>111000</v>
      </c>
      <c r="L4" s="20" t="str">
        <f>IF($H$1="m","m4",IF($H$1="dm","dm4",IF($H$1="cm","cm4","mm4")))</f>
        <v>cm4</v>
      </c>
      <c r="Q4" s="20"/>
    </row>
    <row r="5" spans="6:30" ht="22.5" customHeight="1">
      <c r="F5" s="16" t="s">
        <v>24</v>
      </c>
      <c r="G5" s="51">
        <v>30</v>
      </c>
      <c r="H5" s="20" t="str">
        <f>IF($H$1="m","m",IF($H$1="dm","dm",IF($H$1="cm","cm","mm")))</f>
        <v>cm</v>
      </c>
      <c r="I5" s="29"/>
      <c r="J5" s="16" t="s">
        <v>9</v>
      </c>
      <c r="K5" s="27">
        <f>G5/3*(G3+2*G4)/(G3+G4)</f>
        <v>14</v>
      </c>
      <c r="L5" s="20" t="str">
        <f>IF($H$1="m","m",IF($H$1="dm","dm",IF($H$1="cm","cm","mm")))</f>
        <v>cm</v>
      </c>
      <c r="N5" s="18" t="s">
        <v>26</v>
      </c>
      <c r="O5" s="23">
        <f>K4/(G5-K5)</f>
        <v>6937.5</v>
      </c>
      <c r="P5" s="20" t="str">
        <f>IF($H$1="m","m3",IF($H$1="dm","dm3",IF($H$1="cm","cm3","mm3")))</f>
        <v>cm3</v>
      </c>
      <c r="S5" s="25"/>
      <c r="T5" s="38"/>
      <c r="U5" s="26"/>
      <c r="V5" s="25"/>
      <c r="W5" s="38"/>
      <c r="X5" s="26"/>
      <c r="Y5" s="25"/>
      <c r="Z5" s="38"/>
      <c r="AA5" s="26"/>
      <c r="AB5" s="25"/>
      <c r="AC5" s="38"/>
      <c r="AD5" s="26"/>
    </row>
    <row r="6" spans="6:24" s="25" customFormat="1" ht="22.5" customHeight="1">
      <c r="F6" s="22"/>
      <c r="G6" s="22"/>
      <c r="H6" s="20"/>
      <c r="I6" s="22"/>
      <c r="J6" s="18" t="s">
        <v>36</v>
      </c>
      <c r="K6" s="23">
        <f>G5/48*(G3^3+G3^2*G4+G3*G4^2+G4^3)</f>
        <v>325000</v>
      </c>
      <c r="L6" s="20" t="str">
        <f>IF($H$1="m","m4",IF($H$1="dm","dm4",IF($H$1="cm","cm4","mm4")))</f>
        <v>cm4</v>
      </c>
      <c r="M6" s="22"/>
      <c r="N6" s="37"/>
      <c r="O6" s="20"/>
      <c r="P6" s="22"/>
      <c r="Q6" s="22"/>
      <c r="S6" s="31"/>
      <c r="T6" s="1"/>
      <c r="U6" s="32"/>
      <c r="V6" s="31"/>
      <c r="W6" s="39"/>
      <c r="X6" s="32"/>
    </row>
    <row r="7" spans="9:16" ht="22.5" customHeight="1">
      <c r="I7" s="28"/>
      <c r="J7" s="17" t="s">
        <v>10</v>
      </c>
      <c r="K7" s="27">
        <f>G3/2</f>
        <v>30</v>
      </c>
      <c r="L7" s="20" t="str">
        <f>IF($H$1="m","m",IF($H$1="dm","dm",IF($H$1="cm","cm","mm")))</f>
        <v>cm</v>
      </c>
      <c r="N7" s="18" t="s">
        <v>34</v>
      </c>
      <c r="O7" s="23">
        <f>K6/K7</f>
        <v>10833.333333333334</v>
      </c>
      <c r="P7" s="20" t="str">
        <f>IF($H$1="m","m3",IF($H$1="dm","dm3",IF($H$1="cm","cm3","mm3")))</f>
        <v>cm3</v>
      </c>
    </row>
    <row r="8" spans="2:17" ht="9.75" customHeight="1">
      <c r="B8" s="56"/>
      <c r="C8" s="56"/>
      <c r="D8" s="56"/>
      <c r="E8" s="57"/>
      <c r="F8" s="58"/>
      <c r="G8" s="56"/>
      <c r="H8" s="57"/>
      <c r="I8" s="58"/>
      <c r="J8" s="56"/>
      <c r="K8" s="57"/>
      <c r="L8" s="58"/>
      <c r="M8" s="56"/>
      <c r="N8" s="57"/>
      <c r="O8" s="58"/>
      <c r="P8" s="59"/>
      <c r="Q8" s="29"/>
    </row>
    <row r="9" spans="2:29" ht="9.75" customHeight="1">
      <c r="B9" s="60"/>
      <c r="C9" s="60"/>
      <c r="D9" s="60"/>
      <c r="E9" s="61"/>
      <c r="F9" s="62"/>
      <c r="G9" s="60"/>
      <c r="H9" s="61"/>
      <c r="I9" s="62"/>
      <c r="J9" s="60"/>
      <c r="K9" s="61"/>
      <c r="L9" s="62"/>
      <c r="M9" s="60"/>
      <c r="N9" s="61"/>
      <c r="O9" s="62"/>
      <c r="P9" s="63"/>
      <c r="Q9" s="28"/>
      <c r="R9" s="16"/>
      <c r="S9" s="37"/>
      <c r="T9" s="20"/>
      <c r="V9" s="37"/>
      <c r="W9" s="20"/>
      <c r="Y9" s="37"/>
      <c r="Z9" s="20"/>
      <c r="AB9" s="37"/>
      <c r="AC9" s="20"/>
    </row>
    <row r="10" spans="2:16" ht="22.5" customHeight="1">
      <c r="B10" s="1"/>
      <c r="F10" s="30" t="str">
        <f>IF(Info!H10&gt;2.5,"Circle ",IF(Info!H10&gt;1.5,"Kreis",IF(Info!H10&gt;0.5,"Daire","")))</f>
        <v>Daire</v>
      </c>
      <c r="J10" s="1"/>
      <c r="K10" s="1"/>
      <c r="L10" s="1"/>
      <c r="M10" s="1"/>
      <c r="N10" s="1"/>
      <c r="P10" s="1"/>
    </row>
    <row r="11" spans="1:19" ht="22.5" customHeight="1">
      <c r="A11" s="1"/>
      <c r="B11" s="1"/>
      <c r="C11" s="1"/>
      <c r="D11" s="1"/>
      <c r="E11" s="1"/>
      <c r="F11" s="16" t="s">
        <v>43</v>
      </c>
      <c r="G11" s="51">
        <v>30</v>
      </c>
      <c r="H11" s="20" t="str">
        <f>IF($H$1="m","m",IF($H$1="dm","dm",IF($H$1="cm","cm","mm")))</f>
        <v>cm</v>
      </c>
      <c r="I11" s="29"/>
      <c r="J11" s="16" t="s">
        <v>32</v>
      </c>
      <c r="K11" s="34">
        <f>PI()*G11^2/4</f>
        <v>706.8583470577034</v>
      </c>
      <c r="L11" s="20" t="str">
        <f>IF($H$1="m","m2",IF($H$1="dm","dm2",IF($H$1="cm","cm2","mm2")))</f>
        <v>cm2</v>
      </c>
      <c r="N11" s="29"/>
      <c r="S11" s="31"/>
    </row>
    <row r="12" spans="2:19" ht="22.5" customHeight="1">
      <c r="B12" s="31"/>
      <c r="C12" s="31"/>
      <c r="D12" s="31"/>
      <c r="E12" s="39"/>
      <c r="F12" s="22"/>
      <c r="H12" s="20"/>
      <c r="I12" s="22"/>
      <c r="J12" s="18" t="s">
        <v>56</v>
      </c>
      <c r="K12" s="23">
        <f>PI()*G11^4/64</f>
        <v>39760.782021995816</v>
      </c>
      <c r="L12" s="20" t="str">
        <f>IF($H$1="m","m4",IF($H$1="dm","dm4",IF($H$1="cm","cm4","mm4")))</f>
        <v>cm4</v>
      </c>
      <c r="R12" s="31"/>
      <c r="S12" s="31"/>
    </row>
    <row r="13" spans="9:26" ht="22.5" customHeight="1">
      <c r="I13" s="29"/>
      <c r="J13" s="16" t="s">
        <v>57</v>
      </c>
      <c r="K13" s="27">
        <f>G11/2</f>
        <v>15</v>
      </c>
      <c r="L13" s="20" t="str">
        <f>IF($H$1="m","m",IF($H$1="dm","dm",IF($H$1="cm","cm","mm")))</f>
        <v>cm</v>
      </c>
      <c r="N13" s="18" t="s">
        <v>47</v>
      </c>
      <c r="O13" s="23">
        <f>PI()*G11^3/32</f>
        <v>2650.718801466388</v>
      </c>
      <c r="P13" s="20" t="str">
        <f>IF($H$1="m","m3",IF($H$1="dm","dm3",IF($H$1="cm","cm3","mm3")))</f>
        <v>cm3</v>
      </c>
      <c r="V13" s="37"/>
      <c r="Z13" s="20"/>
    </row>
    <row r="14" spans="6:32" ht="22.5" customHeight="1">
      <c r="F14" s="1"/>
      <c r="G14" s="1"/>
      <c r="H14" s="1"/>
      <c r="I14" s="1"/>
      <c r="J14" s="1"/>
      <c r="K14" s="1"/>
      <c r="L14" s="1"/>
      <c r="M14" s="1"/>
      <c r="N14" s="1"/>
      <c r="O14" s="1"/>
      <c r="P14" s="1"/>
      <c r="Q14" s="20"/>
      <c r="V14" s="37"/>
      <c r="W14" s="20"/>
      <c r="Y14" s="37"/>
      <c r="Z14" s="20"/>
      <c r="AB14" s="37"/>
      <c r="AC14" s="20"/>
      <c r="AE14" s="37"/>
      <c r="AF14" s="20"/>
    </row>
    <row r="15" spans="6:29" ht="22.5" customHeight="1">
      <c r="F15" s="1"/>
      <c r="G15" s="1"/>
      <c r="H15" s="1"/>
      <c r="I15" s="1"/>
      <c r="J15" s="1"/>
      <c r="K15" s="1"/>
      <c r="L15" s="1"/>
      <c r="M15" s="1"/>
      <c r="N15" s="1"/>
      <c r="O15" s="1"/>
      <c r="P15" s="1"/>
      <c r="S15" s="29"/>
      <c r="T15" s="29"/>
      <c r="AB15" s="37"/>
      <c r="AC15" s="20"/>
    </row>
    <row r="16" spans="6:32" ht="22.5" customHeight="1">
      <c r="F16" s="1"/>
      <c r="G16" s="1"/>
      <c r="H16" s="1"/>
      <c r="I16" s="1"/>
      <c r="J16" s="1"/>
      <c r="K16" s="1"/>
      <c r="L16" s="1"/>
      <c r="M16" s="1"/>
      <c r="N16" s="1"/>
      <c r="O16" s="1"/>
      <c r="P16" s="1"/>
      <c r="V16" s="37"/>
      <c r="W16" s="20"/>
      <c r="Y16" s="37"/>
      <c r="Z16" s="20"/>
      <c r="AB16" s="37"/>
      <c r="AC16" s="20"/>
      <c r="AE16" s="37"/>
      <c r="AF16" s="20"/>
    </row>
    <row r="17" spans="1:33" s="64" customFormat="1" ht="9.75" customHeight="1">
      <c r="A17" s="22"/>
      <c r="B17" s="56"/>
      <c r="C17" s="56"/>
      <c r="D17" s="56"/>
      <c r="E17" s="57"/>
      <c r="F17" s="58"/>
      <c r="G17" s="56"/>
      <c r="H17" s="57"/>
      <c r="I17" s="58"/>
      <c r="J17" s="56"/>
      <c r="K17" s="57"/>
      <c r="L17" s="58"/>
      <c r="M17" s="56"/>
      <c r="N17" s="57"/>
      <c r="O17" s="58"/>
      <c r="P17" s="59"/>
      <c r="Q17" s="29"/>
      <c r="S17" s="31"/>
      <c r="T17" s="31"/>
      <c r="U17" s="31"/>
      <c r="V17" s="39"/>
      <c r="W17" s="32"/>
      <c r="Y17" s="70"/>
      <c r="Z17" s="71"/>
      <c r="AG17" s="31"/>
    </row>
    <row r="18" spans="1:32" s="31" customFormat="1" ht="9.75" customHeight="1">
      <c r="A18" s="22"/>
      <c r="B18" s="60"/>
      <c r="C18" s="60"/>
      <c r="D18" s="60"/>
      <c r="E18" s="61"/>
      <c r="F18" s="62"/>
      <c r="G18" s="60"/>
      <c r="H18" s="61"/>
      <c r="I18" s="62"/>
      <c r="J18" s="60"/>
      <c r="K18" s="61"/>
      <c r="L18" s="62"/>
      <c r="M18" s="60"/>
      <c r="N18" s="61"/>
      <c r="O18" s="62"/>
      <c r="P18" s="63"/>
      <c r="Q18" s="28"/>
      <c r="S18" s="1"/>
      <c r="T18" s="1"/>
      <c r="V18" s="39"/>
      <c r="W18" s="32"/>
      <c r="Y18" s="39"/>
      <c r="Z18" s="32"/>
      <c r="AB18" s="39"/>
      <c r="AC18" s="32"/>
      <c r="AE18" s="39"/>
      <c r="AF18" s="32"/>
    </row>
    <row r="19" spans="2:18" ht="22.5" customHeight="1">
      <c r="B19" s="1"/>
      <c r="C19" s="31"/>
      <c r="D19" s="31"/>
      <c r="E19" s="39"/>
      <c r="F19" s="71" t="str">
        <f>IF(Info!H10&gt;2.5,"Halfcircle ",IF(Info!H10&gt;1.5,"Halbkreis",IF(Info!H10&gt;0.5,"Yarım daire","")))</f>
        <v>Yarım daire</v>
      </c>
      <c r="G19" s="31"/>
      <c r="I19" s="32"/>
      <c r="J19" s="31"/>
      <c r="K19" s="39"/>
      <c r="L19" s="32"/>
      <c r="M19" s="31"/>
      <c r="R19" s="1"/>
    </row>
    <row r="20" spans="2:12" ht="22.5" customHeight="1">
      <c r="B20" s="1"/>
      <c r="C20" s="1"/>
      <c r="F20" s="16" t="s">
        <v>44</v>
      </c>
      <c r="G20" s="51">
        <v>15</v>
      </c>
      <c r="H20" s="20" t="str">
        <f>IF($H$1="m","m",IF($H$1="dm","dm",IF($H$1="cm","cm","mm")))</f>
        <v>cm</v>
      </c>
      <c r="J20" s="16" t="s">
        <v>32</v>
      </c>
      <c r="K20" s="34">
        <f>PI()*G20^2/2</f>
        <v>353.4291735288517</v>
      </c>
      <c r="L20" s="20" t="str">
        <f>IF($H$1="m","m2",IF($H$1="dm","dm2",IF($H$1="cm","cm2","mm2")))</f>
        <v>cm2</v>
      </c>
    </row>
    <row r="21" spans="6:17" ht="22.5" customHeight="1">
      <c r="F21" s="22"/>
      <c r="H21" s="20"/>
      <c r="I21" s="22"/>
      <c r="J21" s="18" t="s">
        <v>35</v>
      </c>
      <c r="K21" s="23">
        <f>(PI()/8-8/9/PI())*G20^4</f>
        <v>5556.44613272733</v>
      </c>
      <c r="L21" s="20" t="str">
        <f>IF($H$1="m","m4",IF($H$1="dm","dm4",IF($H$1="cm","cm4","mm4")))</f>
        <v>cm4</v>
      </c>
      <c r="Q21" s="20"/>
    </row>
    <row r="22" spans="2:16" ht="22.5" customHeight="1">
      <c r="B22" s="29"/>
      <c r="C22" s="29"/>
      <c r="J22" s="16" t="s">
        <v>9</v>
      </c>
      <c r="K22" s="27">
        <f>4*G20/3/PI()</f>
        <v>6.366197723675814</v>
      </c>
      <c r="L22" s="20" t="str">
        <f>IF($H$1="m","m",IF($H$1="dm","dm",IF($H$1="cm","cm","mm")))</f>
        <v>cm</v>
      </c>
      <c r="N22" s="18" t="s">
        <v>26</v>
      </c>
      <c r="O22" s="23">
        <f>0.1907*G20^3</f>
        <v>643.6125000000001</v>
      </c>
      <c r="P22" s="20" t="str">
        <f>IF($H$1="m","m3",IF($H$1="dm","dm3",IF($H$1="cm","cm3","mm3")))</f>
        <v>cm3</v>
      </c>
    </row>
    <row r="23" spans="6:13" ht="22.5" customHeight="1">
      <c r="F23" s="1"/>
      <c r="G23" s="1"/>
      <c r="H23" s="1"/>
      <c r="I23" s="1"/>
      <c r="J23" s="18" t="s">
        <v>36</v>
      </c>
      <c r="K23" s="23">
        <f>PI()*G20^4/8</f>
        <v>19880.391010997908</v>
      </c>
      <c r="L23" s="20" t="str">
        <f>IF($H$1="m","m4",IF($H$1="dm","dm4",IF($H$1="cm","cm4","mm4")))</f>
        <v>cm4</v>
      </c>
      <c r="M23" s="1"/>
    </row>
    <row r="24" spans="6:17" ht="22.5" customHeight="1">
      <c r="F24" s="1"/>
      <c r="G24" s="1"/>
      <c r="H24" s="1"/>
      <c r="I24" s="1"/>
      <c r="J24" s="17" t="s">
        <v>10</v>
      </c>
      <c r="K24" s="27">
        <f>G20</f>
        <v>15</v>
      </c>
      <c r="L24" s="20" t="str">
        <f>IF($H$1="m","m",IF($H$1="dm","dm",IF($H$1="cm","cm","mm")))</f>
        <v>cm</v>
      </c>
      <c r="M24" s="1"/>
      <c r="N24" s="18" t="s">
        <v>34</v>
      </c>
      <c r="O24" s="23">
        <f>PI()*G20^3/8</f>
        <v>1325.359400733194</v>
      </c>
      <c r="P24" s="20" t="str">
        <f>IF($H$1="m","m3",IF($H$1="dm","dm3",IF($H$1="cm","cm3","mm3")))</f>
        <v>cm3</v>
      </c>
      <c r="Q24" s="1"/>
    </row>
    <row r="25" spans="1:8" ht="22.5" customHeight="1">
      <c r="A25" s="31"/>
      <c r="B25" s="31"/>
      <c r="C25" s="31"/>
      <c r="D25" s="31"/>
      <c r="E25" s="39"/>
      <c r="F25" s="1"/>
      <c r="G25" s="1"/>
      <c r="H25" s="1"/>
    </row>
    <row r="26" spans="1:18" ht="22.5" customHeight="1">
      <c r="A26" s="31"/>
      <c r="B26" s="31"/>
      <c r="C26" s="31"/>
      <c r="D26" s="31"/>
      <c r="E26" s="39"/>
      <c r="F26" s="32"/>
      <c r="G26" s="31"/>
      <c r="H26" s="39"/>
      <c r="I26" s="32"/>
      <c r="J26" s="31"/>
      <c r="K26" s="39"/>
      <c r="L26" s="32"/>
      <c r="M26" s="31"/>
      <c r="N26" s="39"/>
      <c r="O26" s="32"/>
      <c r="P26" s="31"/>
      <c r="Q26" s="31"/>
      <c r="R26" s="31"/>
    </row>
    <row r="27" ht="22.5" customHeight="1"/>
    <row r="28" ht="22.5" customHeight="1"/>
    <row r="29" ht="22.5" customHeight="1"/>
    <row r="30" ht="22.5" customHeight="1"/>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5:L6 L22" formula="1"/>
  </ignoredErrors>
  <legacyDrawing r:id="rId4"/>
  <oleObjects>
    <oleObject progId="AutoCAD.Drawing.15" shapeId="977881" r:id="rId1"/>
    <oleObject progId="AutoCAD.Drawing.15" shapeId="987748" r:id="rId2"/>
    <oleObject progId="AutoCAD.Drawing.15" shapeId="994869" r:id="rId3"/>
  </oleObjects>
</worksheet>
</file>

<file path=xl/worksheets/sheet7.xml><?xml version="1.0" encoding="utf-8"?>
<worksheet xmlns="http://schemas.openxmlformats.org/spreadsheetml/2006/main" xmlns:r="http://schemas.openxmlformats.org/officeDocument/2006/relationships">
  <dimension ref="A1:AG26"/>
  <sheetViews>
    <sheetView showGridLines="0" showRowColHeaders="0" zoomScale="80" zoomScaleNormal="80" workbookViewId="0" topLeftCell="A1">
      <selection activeCell="H6" sqref="H6"/>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IF(Info!H10&gt;2.5,"Circular ring",IF(Info!H10&gt;1.5,"Kreisring",IF(Info!H10&gt;0.5,"Boru kesiti")))</f>
        <v>Boru kesiti</v>
      </c>
      <c r="J2" s="16"/>
      <c r="K2" s="1"/>
    </row>
    <row r="3" spans="6:30" ht="22.5" customHeight="1">
      <c r="F3" s="16" t="s">
        <v>51</v>
      </c>
      <c r="G3" s="51">
        <v>60</v>
      </c>
      <c r="H3" s="20" t="str">
        <f>IF($H$1="m","m",IF($H$1="dm","dm",IF($H$1="cm","cm","mm")))</f>
        <v>cm</v>
      </c>
      <c r="J3" s="16" t="s">
        <v>32</v>
      </c>
      <c r="K3" s="34">
        <f>PI()*(G3^2-G4^2)/4</f>
        <v>1570.7963267948965</v>
      </c>
      <c r="L3" s="20" t="str">
        <f>IF($H$1="m","m2",IF($H$1="dm","dm2",IF($H$1="cm","cm2","mm2")))</f>
        <v>cm2</v>
      </c>
      <c r="N3" s="29"/>
      <c r="S3" s="24"/>
      <c r="T3" s="37"/>
      <c r="U3" s="20"/>
      <c r="W3" s="37"/>
      <c r="X3" s="20"/>
      <c r="Z3" s="37"/>
      <c r="AA3" s="20"/>
      <c r="AC3" s="37"/>
      <c r="AD3" s="20"/>
    </row>
    <row r="4" spans="6:12" ht="22.5" customHeight="1">
      <c r="F4" s="16" t="s">
        <v>43</v>
      </c>
      <c r="G4" s="51">
        <v>40</v>
      </c>
      <c r="H4" s="20" t="str">
        <f>IF($H$1="m","m",IF($H$1="dm","dm",IF($H$1="cm","cm","mm")))</f>
        <v>cm</v>
      </c>
      <c r="I4" s="22"/>
      <c r="J4" s="18" t="s">
        <v>46</v>
      </c>
      <c r="K4" s="23">
        <f>PI()*(G3^4-G4^4)/64</f>
        <v>510508.8062083414</v>
      </c>
      <c r="L4" s="20" t="str">
        <f>IF($H$1="m","m4",IF($H$1="dm","dm4",IF($H$1="cm","cm4","mm4")))</f>
        <v>cm4</v>
      </c>
    </row>
    <row r="5" spans="9:30" ht="22.5" customHeight="1">
      <c r="I5" s="29"/>
      <c r="J5" s="16" t="s">
        <v>57</v>
      </c>
      <c r="K5" s="27">
        <f>G3/2</f>
        <v>30</v>
      </c>
      <c r="L5" s="20" t="str">
        <f>IF($H$1="m","m",IF($H$1="dm","dm",IF($H$1="cm","cm","mm")))</f>
        <v>cm</v>
      </c>
      <c r="N5" s="18" t="s">
        <v>47</v>
      </c>
      <c r="O5" s="23">
        <f>PI()*(G3^4-G4^4)/32/G3</f>
        <v>17016.960206944714</v>
      </c>
      <c r="P5" s="20" t="str">
        <f>IF($H$1="m","m3",IF($H$1="dm","dm3",IF($H$1="cm","cm3","mm3")))</f>
        <v>cm3</v>
      </c>
      <c r="S5" s="25"/>
      <c r="T5" s="38"/>
      <c r="U5" s="26"/>
      <c r="V5" s="25"/>
      <c r="W5" s="38"/>
      <c r="X5" s="26"/>
      <c r="Y5" s="25"/>
      <c r="Z5" s="38"/>
      <c r="AA5" s="26"/>
      <c r="AB5" s="25"/>
      <c r="AC5" s="38"/>
      <c r="AD5" s="26"/>
    </row>
    <row r="6" spans="6:24" s="25" customFormat="1" ht="22.5" customHeight="1">
      <c r="F6" s="1"/>
      <c r="G6" s="1"/>
      <c r="H6" s="1"/>
      <c r="I6" s="1"/>
      <c r="J6" s="1"/>
      <c r="K6" s="1"/>
      <c r="L6" s="1"/>
      <c r="M6" s="1"/>
      <c r="N6" s="1"/>
      <c r="O6" s="1"/>
      <c r="P6" s="1"/>
      <c r="Q6" s="1"/>
      <c r="S6" s="31"/>
      <c r="T6" s="1"/>
      <c r="U6" s="32"/>
      <c r="V6" s="31"/>
      <c r="W6" s="39"/>
      <c r="X6" s="32"/>
    </row>
    <row r="7" spans="6:17" ht="22.5" customHeight="1">
      <c r="F7" s="1"/>
      <c r="G7" s="1"/>
      <c r="H7" s="1"/>
      <c r="I7" s="1"/>
      <c r="J7" s="1"/>
      <c r="K7" s="1"/>
      <c r="L7" s="1"/>
      <c r="M7" s="1"/>
      <c r="N7" s="1"/>
      <c r="O7" s="1"/>
      <c r="P7" s="1"/>
      <c r="Q7" s="1"/>
    </row>
    <row r="8" spans="6:29" ht="22.5" customHeight="1">
      <c r="F8" s="1"/>
      <c r="G8" s="1"/>
      <c r="H8" s="1"/>
      <c r="I8" s="1"/>
      <c r="J8" s="1"/>
      <c r="K8" s="1"/>
      <c r="L8" s="1"/>
      <c r="M8" s="1"/>
      <c r="N8" s="1"/>
      <c r="O8" s="1"/>
      <c r="P8" s="1"/>
      <c r="Q8" s="64"/>
      <c r="R8" s="55"/>
      <c r="V8" s="39"/>
      <c r="W8" s="32"/>
      <c r="X8" s="31"/>
      <c r="Y8" s="39"/>
      <c r="Z8" s="32"/>
      <c r="AA8" s="31"/>
      <c r="AB8" s="39"/>
      <c r="AC8" s="32"/>
    </row>
    <row r="9" spans="2:17" ht="9.75" customHeight="1">
      <c r="B9" s="56"/>
      <c r="C9" s="56"/>
      <c r="D9" s="56"/>
      <c r="E9" s="57"/>
      <c r="F9" s="58"/>
      <c r="G9" s="56"/>
      <c r="H9" s="57"/>
      <c r="I9" s="58"/>
      <c r="J9" s="56"/>
      <c r="K9" s="57"/>
      <c r="L9" s="58"/>
      <c r="M9" s="56"/>
      <c r="N9" s="57"/>
      <c r="O9" s="58"/>
      <c r="P9" s="59"/>
      <c r="Q9" s="29"/>
    </row>
    <row r="10" spans="2:29" ht="9.75" customHeight="1">
      <c r="B10" s="60"/>
      <c r="C10" s="60"/>
      <c r="D10" s="60"/>
      <c r="E10" s="61"/>
      <c r="F10" s="62"/>
      <c r="G10" s="60"/>
      <c r="H10" s="61"/>
      <c r="I10" s="62"/>
      <c r="J10" s="60"/>
      <c r="K10" s="61"/>
      <c r="L10" s="62"/>
      <c r="M10" s="60"/>
      <c r="N10" s="61"/>
      <c r="O10" s="62"/>
      <c r="P10" s="63"/>
      <c r="Q10" s="28"/>
      <c r="R10" s="16"/>
      <c r="S10" s="37"/>
      <c r="T10" s="20"/>
      <c r="V10" s="37"/>
      <c r="W10" s="20"/>
      <c r="Y10" s="37"/>
      <c r="Z10" s="20"/>
      <c r="AB10" s="37"/>
      <c r="AC10" s="20"/>
    </row>
    <row r="11" spans="2:16" ht="22.5" customHeight="1">
      <c r="B11" s="1"/>
      <c r="F11" s="30" t="str">
        <f>IF(Info!H10&gt;2.5,"Half circular ring",IF(Info!H10&gt;1.5,"Halber Kreisring",IF(Info!H10&gt;0.5,"Yarım boru kesiti")))</f>
        <v>Yarım boru kesiti</v>
      </c>
      <c r="J11" s="1"/>
      <c r="K11" s="1"/>
      <c r="L11" s="1"/>
      <c r="M11" s="1"/>
      <c r="N11" s="1"/>
      <c r="P11" s="1"/>
    </row>
    <row r="12" spans="1:19" ht="22.5" customHeight="1">
      <c r="A12" s="1"/>
      <c r="B12" s="1"/>
      <c r="C12" s="1"/>
      <c r="D12" s="1"/>
      <c r="E12" s="1"/>
      <c r="F12" s="16" t="s">
        <v>44</v>
      </c>
      <c r="G12" s="51">
        <v>6</v>
      </c>
      <c r="H12" s="20" t="str">
        <f>IF($H$1="m","m",IF($H$1="dm","dm",IF($H$1="cm","cm","mm")))</f>
        <v>cm</v>
      </c>
      <c r="J12" s="16" t="s">
        <v>32</v>
      </c>
      <c r="K12" s="34">
        <f>PI()*(G12^2-G13^2)/8</f>
        <v>4.319689898685965</v>
      </c>
      <c r="L12" s="20" t="str">
        <f>IF($H$1="m","m2",IF($H$1="dm","dm2",IF($H$1="cm","cm2","mm2")))</f>
        <v>cm2</v>
      </c>
      <c r="S12" s="31"/>
    </row>
    <row r="13" spans="2:19" ht="22.5" customHeight="1">
      <c r="B13" s="31"/>
      <c r="C13" s="31"/>
      <c r="D13" s="31"/>
      <c r="E13" s="39"/>
      <c r="F13" s="16" t="s">
        <v>52</v>
      </c>
      <c r="G13" s="51">
        <v>5</v>
      </c>
      <c r="H13" s="20" t="str">
        <f>IF($H$1="m","m",IF($H$1="dm","dm",IF($H$1="cm","cm","mm")))</f>
        <v>cm</v>
      </c>
      <c r="I13" s="22"/>
      <c r="J13" s="18" t="s">
        <v>53</v>
      </c>
      <c r="K13" s="23">
        <f>1.1098*(G12^4-G13^4)-0.283*G12^2*G13^2*(G12-G13)/(G12+G13)</f>
        <v>721.5212545454546</v>
      </c>
      <c r="L13" s="20" t="str">
        <f>IF($H$1="m","m4",IF($H$1="dm","dm4",IF($H$1="cm","cm4","mm4")))</f>
        <v>cm4</v>
      </c>
      <c r="Q13" s="20"/>
      <c r="R13" s="31"/>
      <c r="S13" s="31"/>
    </row>
    <row r="14" spans="10:26" ht="22.5" customHeight="1">
      <c r="J14" s="16" t="s">
        <v>11</v>
      </c>
      <c r="K14" s="27">
        <f>4*(G12^2+G12*G13+G13^2)/3/PI()/(G12+G13)</f>
        <v>3.5110545021484794</v>
      </c>
      <c r="L14" s="20" t="str">
        <f>IF($H$1="m","m",IF($H$1="dm","dm",IF($H$1="cm","cm","mm")))</f>
        <v>cm</v>
      </c>
      <c r="N14" s="18" t="s">
        <v>54</v>
      </c>
      <c r="O14" s="23">
        <f>K13/K14</f>
        <v>205.4998730734434</v>
      </c>
      <c r="P14" s="20" t="str">
        <f>IF($H$1="m","m3",IF($H$1="dm","dm3",IF($H$1="cm","cm3","mm3")))</f>
        <v>cm3</v>
      </c>
      <c r="V14" s="37"/>
      <c r="Z14" s="20"/>
    </row>
    <row r="15" spans="6:32" ht="22.5" customHeight="1">
      <c r="F15" s="1"/>
      <c r="G15" s="1"/>
      <c r="H15" s="1"/>
      <c r="I15" s="1"/>
      <c r="J15" s="16" t="s">
        <v>12</v>
      </c>
      <c r="K15" s="27">
        <f>G12-K14</f>
        <v>2.4889454978515206</v>
      </c>
      <c r="L15" s="20" t="str">
        <f>IF($H$1="m","m",IF($H$1="dm","dm",IF($H$1="cm","cm","mm")))</f>
        <v>cm</v>
      </c>
      <c r="M15" s="1"/>
      <c r="N15" s="18" t="s">
        <v>55</v>
      </c>
      <c r="O15" s="23">
        <f>K13/K15</f>
        <v>289.8903391690489</v>
      </c>
      <c r="P15" s="20" t="str">
        <f>IF($H$1="m","m3",IF($H$1="dm","dm3",IF($H$1="cm","cm3","mm3")))</f>
        <v>cm3</v>
      </c>
      <c r="V15" s="37"/>
      <c r="W15" s="20"/>
      <c r="Y15" s="37"/>
      <c r="Z15" s="20"/>
      <c r="AB15" s="37"/>
      <c r="AC15" s="20"/>
      <c r="AE15" s="37"/>
      <c r="AF15" s="20"/>
    </row>
    <row r="16" spans="6:29" ht="22.5" customHeight="1">
      <c r="F16" s="1"/>
      <c r="G16" s="1"/>
      <c r="H16" s="1"/>
      <c r="I16" s="1"/>
      <c r="J16" s="1"/>
      <c r="N16" s="1"/>
      <c r="O16" s="1"/>
      <c r="P16" s="1"/>
      <c r="S16" s="29"/>
      <c r="T16" s="29"/>
      <c r="AB16" s="37"/>
      <c r="AC16" s="20"/>
    </row>
    <row r="17" spans="1:33" s="64" customFormat="1" ht="9.75" customHeight="1">
      <c r="A17" s="22"/>
      <c r="B17" s="56"/>
      <c r="C17" s="56"/>
      <c r="D17" s="56"/>
      <c r="E17" s="57"/>
      <c r="F17" s="58"/>
      <c r="G17" s="56"/>
      <c r="H17" s="57"/>
      <c r="I17" s="58"/>
      <c r="J17" s="56"/>
      <c r="K17" s="57"/>
      <c r="L17" s="58"/>
      <c r="M17" s="56"/>
      <c r="N17" s="57"/>
      <c r="O17" s="58"/>
      <c r="P17" s="59"/>
      <c r="Q17" s="29"/>
      <c r="S17" s="31"/>
      <c r="T17" s="31"/>
      <c r="U17" s="31"/>
      <c r="V17" s="39"/>
      <c r="W17" s="32"/>
      <c r="Y17" s="70"/>
      <c r="Z17" s="71"/>
      <c r="AG17" s="31"/>
    </row>
    <row r="18" spans="1:32" s="31" customFormat="1" ht="9.75" customHeight="1">
      <c r="A18" s="22"/>
      <c r="B18" s="60"/>
      <c r="C18" s="60"/>
      <c r="D18" s="60"/>
      <c r="E18" s="61"/>
      <c r="F18" s="62"/>
      <c r="G18" s="60"/>
      <c r="H18" s="61"/>
      <c r="I18" s="62"/>
      <c r="J18" s="60"/>
      <c r="K18" s="61"/>
      <c r="L18" s="62"/>
      <c r="M18" s="60"/>
      <c r="N18" s="61"/>
      <c r="O18" s="62"/>
      <c r="P18" s="63"/>
      <c r="Q18" s="28"/>
      <c r="S18" s="1"/>
      <c r="T18" s="1"/>
      <c r="V18" s="39"/>
      <c r="W18" s="32"/>
      <c r="Y18" s="39"/>
      <c r="Z18" s="32"/>
      <c r="AB18" s="39"/>
      <c r="AC18" s="32"/>
      <c r="AE18" s="39"/>
      <c r="AF18" s="32"/>
    </row>
    <row r="19" spans="2:18" ht="22.5" customHeight="1">
      <c r="B19" s="1"/>
      <c r="C19" s="31"/>
      <c r="D19" s="31"/>
      <c r="E19" s="39"/>
      <c r="F19" s="71" t="str">
        <f>IF(Info!H10&gt;2.5,"Circle with bore ",IF(Info!H10&gt;1.5,"Kreis mit Loch",IF(Info!H10&gt;0.5,"Delikli daire","")))</f>
        <v>Delikli daire</v>
      </c>
      <c r="G19" s="31"/>
      <c r="I19" s="32"/>
      <c r="J19" s="31"/>
      <c r="K19" s="39"/>
      <c r="L19" s="32"/>
      <c r="M19" s="31"/>
      <c r="R19" s="1"/>
    </row>
    <row r="20" spans="2:14" ht="22.5" customHeight="1">
      <c r="B20" s="1"/>
      <c r="C20" s="1"/>
      <c r="F20" s="16" t="s">
        <v>51</v>
      </c>
      <c r="G20" s="48">
        <v>60</v>
      </c>
      <c r="H20" s="20" t="str">
        <f>IF($H$1="m","m",IF($H$1="dm","dm",IF($H$1="cm","cm","mm")))</f>
        <v>cm</v>
      </c>
      <c r="J20" s="16" t="s">
        <v>32</v>
      </c>
      <c r="K20" s="34"/>
      <c r="L20" s="20" t="str">
        <f>IF($H$1="m","m2",IF($H$1="dm","dm2",IF($H$1="cm","cm2","mm2")))</f>
        <v>cm2</v>
      </c>
      <c r="N20" s="29"/>
    </row>
    <row r="21" spans="6:17" ht="22.5" customHeight="1">
      <c r="F21" s="16" t="s">
        <v>43</v>
      </c>
      <c r="G21" s="48">
        <v>8</v>
      </c>
      <c r="H21" s="20" t="str">
        <f>IF($H$1="m","m",IF($H$1="dm","dm",IF($H$1="cm","cm","mm")))</f>
        <v>cm</v>
      </c>
      <c r="I21" s="22"/>
      <c r="J21" s="18" t="s">
        <v>35</v>
      </c>
      <c r="K21" s="34">
        <f>0.01*G20^3*(5*G20-8.5*G21)</f>
        <v>501120</v>
      </c>
      <c r="L21" s="20" t="str">
        <f>IF($H$1="m","m4",IF($H$1="dm","dm4",IF($H$1="cm","cm4","mm4")))</f>
        <v>cm4</v>
      </c>
      <c r="M21" s="37"/>
      <c r="N21" s="20"/>
      <c r="O21" s="22"/>
      <c r="P21" s="37"/>
      <c r="Q21" s="20"/>
    </row>
    <row r="22" spans="2:16" ht="22.5" customHeight="1">
      <c r="B22" s="29"/>
      <c r="C22" s="29"/>
      <c r="F22" s="22"/>
      <c r="G22" s="37"/>
      <c r="J22" s="16" t="s">
        <v>74</v>
      </c>
      <c r="K22" s="34"/>
      <c r="L22" s="20" t="str">
        <f>IF($H$1="m","m",IF($H$1="dm","dm",IF($H$1="cm","cm","mm")))</f>
        <v>cm</v>
      </c>
      <c r="N22" s="18" t="s">
        <v>26</v>
      </c>
      <c r="O22" s="34">
        <f>0.1*G20^2*(G20-1.7*G21)</f>
        <v>16704</v>
      </c>
      <c r="P22" s="20" t="str">
        <f>IF($H$1="m","m3",IF($H$1="dm","dm3",IF($H$1="cm","cm3","mm3")))</f>
        <v>cm3</v>
      </c>
    </row>
    <row r="23" spans="6:16" ht="22.5" customHeight="1">
      <c r="F23" s="1"/>
      <c r="G23" s="1"/>
      <c r="H23" s="1"/>
      <c r="I23" s="1"/>
      <c r="J23" s="1"/>
      <c r="K23" s="1"/>
      <c r="L23" s="1"/>
      <c r="M23" s="1"/>
      <c r="N23" s="1"/>
      <c r="O23" s="1"/>
      <c r="P23" s="1"/>
    </row>
    <row r="24" spans="6:17" ht="22.5" customHeight="1">
      <c r="F24" s="1"/>
      <c r="G24" s="1"/>
      <c r="H24" s="1"/>
      <c r="I24" s="1"/>
      <c r="J24" s="1"/>
      <c r="K24" s="1"/>
      <c r="L24" s="1"/>
      <c r="M24" s="1"/>
      <c r="N24" s="1"/>
      <c r="O24" s="1"/>
      <c r="P24" s="1"/>
      <c r="Q24" s="1"/>
    </row>
    <row r="25" spans="1:8" ht="22.5" customHeight="1">
      <c r="A25" s="31"/>
      <c r="B25" s="31"/>
      <c r="C25" s="31"/>
      <c r="D25" s="31"/>
      <c r="E25" s="39"/>
      <c r="F25" s="1"/>
      <c r="G25" s="1"/>
      <c r="H25" s="1"/>
    </row>
    <row r="26" spans="1:18" ht="22.5" customHeight="1">
      <c r="A26" s="31"/>
      <c r="B26" s="31"/>
      <c r="C26" s="31"/>
      <c r="D26" s="31"/>
      <c r="E26" s="39"/>
      <c r="F26" s="32"/>
      <c r="G26" s="31"/>
      <c r="H26" s="39"/>
      <c r="I26" s="32"/>
      <c r="J26" s="31"/>
      <c r="K26" s="39"/>
      <c r="L26" s="32"/>
      <c r="M26" s="31"/>
      <c r="N26" s="39"/>
      <c r="O26" s="32"/>
      <c r="P26" s="31"/>
      <c r="Q26" s="31"/>
      <c r="R26" s="31"/>
    </row>
    <row r="27" ht="22.5" customHeight="1"/>
    <row r="28" ht="22.5" customHeight="1"/>
    <row r="29" ht="22.5" customHeight="1"/>
    <row r="30" ht="22.5" customHeight="1"/>
    <row r="31" ht="22.5" customHeight="1"/>
    <row r="32" ht="22.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legacyDrawing r:id="rId4"/>
  <oleObjects>
    <oleObject progId="AutoCAD.Drawing.15" shapeId="1061065" r:id="rId1"/>
    <oleObject progId="AutoCAD.Drawing.15" shapeId="1063422" r:id="rId2"/>
    <oleObject progId="AutoCAD.Drawing.15" shapeId="1065513" r:id="rId3"/>
  </oleObjects>
</worksheet>
</file>

<file path=xl/worksheets/sheet8.xml><?xml version="1.0" encoding="utf-8"?>
<worksheet xmlns="http://schemas.openxmlformats.org/spreadsheetml/2006/main" xmlns:r="http://schemas.openxmlformats.org/officeDocument/2006/relationships">
  <dimension ref="A1:AG27"/>
  <sheetViews>
    <sheetView showGridLines="0" showRowColHeaders="0" zoomScale="80" zoomScaleNormal="80" workbookViewId="0" topLeftCell="A1">
      <selection activeCell="I20" sqref="I20"/>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IF(Info!H10&gt;2.5,"Quadrant",IF(Info!H10&gt;1.5,"Viertelkreis",IF(Info!H10&gt;0.5,"Çeyrek daire")))</f>
        <v>Çeyrek daire</v>
      </c>
      <c r="J2" s="16"/>
      <c r="K2" s="1"/>
    </row>
    <row r="3" spans="6:30" ht="22.5" customHeight="1">
      <c r="F3" s="16" t="s">
        <v>44</v>
      </c>
      <c r="G3" s="48">
        <v>30</v>
      </c>
      <c r="H3" s="20" t="str">
        <f>IF($H$1="m","m",IF($H$1="dm","dm",IF($H$1="cm","cm","mm")))</f>
        <v>cm</v>
      </c>
      <c r="J3" s="16" t="s">
        <v>32</v>
      </c>
      <c r="K3" s="34">
        <f>PI()*G3^2/4</f>
        <v>706.8583470577034</v>
      </c>
      <c r="L3" s="20" t="str">
        <f>IF($H$1="m","m2",IF($H$1="dm","dm2",IF($H$1="cm","cm2","mm2")))</f>
        <v>cm2</v>
      </c>
      <c r="S3" s="24"/>
      <c r="T3" s="37"/>
      <c r="U3" s="20"/>
      <c r="W3" s="37"/>
      <c r="X3" s="20"/>
      <c r="Z3" s="37"/>
      <c r="AA3" s="20"/>
      <c r="AC3" s="37"/>
      <c r="AD3" s="20"/>
    </row>
    <row r="4" spans="6:17" ht="22.5" customHeight="1">
      <c r="F4" s="22"/>
      <c r="G4" s="37"/>
      <c r="H4" s="20"/>
      <c r="I4" s="22"/>
      <c r="J4" s="18" t="s">
        <v>58</v>
      </c>
      <c r="K4" s="34">
        <f>0.05488*G3^4</f>
        <v>44452.799999999996</v>
      </c>
      <c r="L4" s="20" t="str">
        <f>IF($H$1="m","m4",IF($H$1="dm","dm4",IF($H$1="cm","cm4","mm4")))</f>
        <v>cm4</v>
      </c>
      <c r="M4" s="37"/>
      <c r="N4" s="20"/>
      <c r="O4" s="22"/>
      <c r="P4" s="37"/>
      <c r="Q4" s="20"/>
    </row>
    <row r="5" spans="6:30" ht="22.5" customHeight="1">
      <c r="F5" s="16" t="s">
        <v>12</v>
      </c>
      <c r="G5" s="34">
        <f>0.5756*G3</f>
        <v>17.268</v>
      </c>
      <c r="H5" s="20" t="str">
        <f>IF($H$1="m","m",IF($H$1="dm","dm",IF($H$1="cm","cm","mm")))</f>
        <v>cm</v>
      </c>
      <c r="J5" s="16" t="s">
        <v>74</v>
      </c>
      <c r="K5" s="34">
        <f>0.4244*G3</f>
        <v>12.732</v>
      </c>
      <c r="L5" s="20" t="str">
        <f>IF($H$1="m","m",IF($H$1="dm","dm",IF($H$1="cm","cm","mm")))</f>
        <v>cm</v>
      </c>
      <c r="N5" s="18" t="s">
        <v>60</v>
      </c>
      <c r="O5" s="34">
        <f>0.09534*G3^3</f>
        <v>2574.18</v>
      </c>
      <c r="P5" s="20" t="str">
        <f>IF($H$1="m","m3",IF($H$1="dm","dm3",IF($H$1="cm","cm3","mm3")))</f>
        <v>cm3</v>
      </c>
      <c r="S5" s="25"/>
      <c r="T5" s="38"/>
      <c r="U5" s="26"/>
      <c r="V5" s="25"/>
      <c r="W5" s="38"/>
      <c r="X5" s="26"/>
      <c r="Y5" s="25"/>
      <c r="Z5" s="38"/>
      <c r="AA5" s="26"/>
      <c r="AB5" s="25"/>
      <c r="AC5" s="38"/>
      <c r="AD5" s="26"/>
    </row>
    <row r="6" spans="6:24" s="25" customFormat="1" ht="22.5" customHeight="1">
      <c r="F6" s="22"/>
      <c r="G6" s="37"/>
      <c r="H6" s="20"/>
      <c r="I6" s="22"/>
      <c r="J6" s="16" t="s">
        <v>13</v>
      </c>
      <c r="K6" s="34">
        <f>0.6002*G3</f>
        <v>18.006</v>
      </c>
      <c r="L6" s="20" t="str">
        <f>IF($H$1="m","m",IF($H$1="dm","dm",IF($H$1="cm","cm","mm")))</f>
        <v>cm</v>
      </c>
      <c r="M6" s="37"/>
      <c r="N6" s="18" t="s">
        <v>15</v>
      </c>
      <c r="O6" s="34">
        <f>0.1009*G3^3</f>
        <v>2724.3</v>
      </c>
      <c r="P6" s="20" t="str">
        <f>IF($H$1="m","m3",IF($H$1="dm","dm3",IF($H$1="cm","cm3","mm3")))</f>
        <v>cm3</v>
      </c>
      <c r="Q6" s="20"/>
      <c r="S6" s="31"/>
      <c r="T6" s="1"/>
      <c r="U6" s="32"/>
      <c r="V6" s="31"/>
      <c r="W6" s="39"/>
      <c r="X6" s="32"/>
    </row>
    <row r="7" spans="10:16" ht="22.5" customHeight="1">
      <c r="J7" s="16" t="s">
        <v>14</v>
      </c>
      <c r="K7" s="34">
        <f>0.7071*G3</f>
        <v>21.212999999999997</v>
      </c>
      <c r="L7" s="20" t="str">
        <f>IF($H$1="m","m",IF($H$1="dm","dm",IF($H$1="cm","cm","mm")))</f>
        <v>cm</v>
      </c>
      <c r="N7" s="18" t="s">
        <v>16</v>
      </c>
      <c r="O7" s="34">
        <f>0.06399*G3^3</f>
        <v>1727.7300000000002</v>
      </c>
      <c r="P7" s="20" t="str">
        <f>IF($H$1="m","m3",IF($H$1="dm","dm3",IF($H$1="cm","cm3","mm3")))</f>
        <v>cm3</v>
      </c>
    </row>
    <row r="8" spans="6:29" ht="22.5" customHeight="1">
      <c r="F8" s="1"/>
      <c r="G8" s="1"/>
      <c r="H8" s="1"/>
      <c r="J8" s="18" t="s">
        <v>59</v>
      </c>
      <c r="K8" s="34">
        <f>0.05488*G3^4</f>
        <v>44452.799999999996</v>
      </c>
      <c r="L8" s="20" t="str">
        <f>IF($H$1="m","m4",IF($H$1="dm","dm4",IF($H$1="cm","cm4","mm4")))</f>
        <v>cm4</v>
      </c>
      <c r="M8" s="1"/>
      <c r="N8" s="1"/>
      <c r="O8" s="1"/>
      <c r="P8" s="1"/>
      <c r="Q8" s="64"/>
      <c r="R8" s="55"/>
      <c r="V8" s="39"/>
      <c r="W8" s="32"/>
      <c r="X8" s="31"/>
      <c r="Y8" s="39"/>
      <c r="Z8" s="32"/>
      <c r="AA8" s="31"/>
      <c r="AB8" s="39"/>
      <c r="AC8" s="32"/>
    </row>
    <row r="9" spans="2:17" ht="9.75" customHeight="1">
      <c r="B9" s="56"/>
      <c r="C9" s="56"/>
      <c r="D9" s="56"/>
      <c r="E9" s="57"/>
      <c r="F9" s="58"/>
      <c r="G9" s="56"/>
      <c r="H9" s="57"/>
      <c r="I9" s="58"/>
      <c r="J9" s="56"/>
      <c r="K9" s="57"/>
      <c r="L9" s="58"/>
      <c r="M9" s="56"/>
      <c r="N9" s="57"/>
      <c r="O9" s="58"/>
      <c r="P9" s="59"/>
      <c r="Q9" s="29"/>
    </row>
    <row r="10" spans="2:29" ht="9.75" customHeight="1">
      <c r="B10" s="60"/>
      <c r="C10" s="60"/>
      <c r="D10" s="60"/>
      <c r="E10" s="61"/>
      <c r="F10" s="62"/>
      <c r="G10" s="60"/>
      <c r="H10" s="61"/>
      <c r="I10" s="62"/>
      <c r="J10" s="60"/>
      <c r="K10" s="61"/>
      <c r="L10" s="62"/>
      <c r="M10" s="60"/>
      <c r="N10" s="61"/>
      <c r="O10" s="62"/>
      <c r="P10" s="63"/>
      <c r="Q10" s="28"/>
      <c r="R10" s="16"/>
      <c r="S10" s="37"/>
      <c r="T10" s="20"/>
      <c r="V10" s="37"/>
      <c r="W10" s="20"/>
      <c r="Y10" s="37"/>
      <c r="Z10" s="20"/>
      <c r="AB10" s="37"/>
      <c r="AC10" s="20"/>
    </row>
    <row r="11" spans="2:16" ht="22.5" customHeight="1">
      <c r="B11" s="1"/>
      <c r="F11" s="30" t="str">
        <f>IF(Info!H10&gt;2.5," Hollow circle corner cut ",IF(Info!H10&gt;1.5,"Hohlkreis Eckenschnitt",IF(Info!H10&gt;0.5,"Daire boşluklu köşe kesiti")))</f>
        <v>Daire boşluklu köşe kesiti</v>
      </c>
      <c r="J11" s="1"/>
      <c r="K11" s="1"/>
      <c r="L11" s="1"/>
      <c r="M11" s="1"/>
      <c r="N11" s="1"/>
      <c r="P11" s="1"/>
    </row>
    <row r="12" spans="1:19" ht="22.5" customHeight="1">
      <c r="A12" s="1"/>
      <c r="B12" s="1"/>
      <c r="C12" s="1"/>
      <c r="D12" s="1"/>
      <c r="E12" s="1"/>
      <c r="F12" s="16" t="s">
        <v>44</v>
      </c>
      <c r="G12" s="48">
        <v>30</v>
      </c>
      <c r="H12" s="20" t="str">
        <f>IF($H$1="m","m",IF($H$1="dm","dm",IF($H$1="cm","cm","mm")))</f>
        <v>cm</v>
      </c>
      <c r="J12" s="18" t="s">
        <v>58</v>
      </c>
      <c r="K12" s="34">
        <f>0.00755*G12^4</f>
        <v>6115.5</v>
      </c>
      <c r="L12" s="20" t="str">
        <f>IF($H$1="m","m4",IF($H$1="dm","dm4",IF($H$1="cm","cm4","mm4")))</f>
        <v>cm4</v>
      </c>
      <c r="N12" s="16" t="s">
        <v>32</v>
      </c>
      <c r="O12" s="34">
        <f>G12^2*(1-PI()/4)</f>
        <v>193.14165294229656</v>
      </c>
      <c r="P12" s="20" t="str">
        <f>IF($H$1="m","m2",IF($H$1="dm","dm2",IF($H$1="cm","cm2","mm2")))</f>
        <v>cm2</v>
      </c>
      <c r="S12" s="31"/>
    </row>
    <row r="13" spans="2:19" ht="22.5" customHeight="1">
      <c r="B13" s="31"/>
      <c r="C13" s="31"/>
      <c r="D13" s="31"/>
      <c r="E13" s="39"/>
      <c r="F13" s="22"/>
      <c r="G13" s="37"/>
      <c r="H13" s="20"/>
      <c r="I13" s="22"/>
      <c r="J13" s="16" t="s">
        <v>9</v>
      </c>
      <c r="K13" s="34">
        <f>0.7766*G12</f>
        <v>23.298</v>
      </c>
      <c r="L13" s="20" t="str">
        <f>IF($H$1="m","m",IF($H$1="dm","dm",IF($H$1="cm","cm","mm")))</f>
        <v>cm</v>
      </c>
      <c r="N13" s="18" t="s">
        <v>47</v>
      </c>
      <c r="O13" s="34">
        <f>0.00972*G12^3</f>
        <v>262.44</v>
      </c>
      <c r="P13" s="20" t="str">
        <f>IF($H$1="m","m3",IF($H$1="dm","dm3",IF($H$1="cm","cm3","mm3")))</f>
        <v>cm3</v>
      </c>
      <c r="Q13" s="64"/>
      <c r="R13" s="31"/>
      <c r="S13" s="31"/>
    </row>
    <row r="14" spans="6:26" ht="22.5" customHeight="1">
      <c r="F14" s="16" t="s">
        <v>11</v>
      </c>
      <c r="G14" s="34">
        <f>0.2234*G12</f>
        <v>6.702</v>
      </c>
      <c r="H14" s="20" t="str">
        <f>IF($H$1="m","m",IF($H$1="dm","dm",IF($H$1="cm","cm","mm")))</f>
        <v>cm</v>
      </c>
      <c r="J14" s="18" t="s">
        <v>61</v>
      </c>
      <c r="K14" s="34">
        <f>0.01198*G12^4</f>
        <v>9703.8</v>
      </c>
      <c r="L14" s="20" t="str">
        <f>IF($H$1="m","m4",IF($H$1="dm","dm4",IF($H$1="cm","cm4","mm4")))</f>
        <v>cm4</v>
      </c>
      <c r="N14" s="29"/>
      <c r="O14" s="29"/>
      <c r="P14" s="47"/>
      <c r="V14" s="37"/>
      <c r="Z14" s="20"/>
    </row>
    <row r="15" spans="6:32" ht="22.5" customHeight="1">
      <c r="F15" s="16" t="s">
        <v>12</v>
      </c>
      <c r="G15" s="34">
        <f>0.3912*G12</f>
        <v>11.736</v>
      </c>
      <c r="H15" s="20" t="str">
        <f>IF($H$1="m","m",IF($H$1="dm","dm",IF($H$1="cm","cm","mm")))</f>
        <v>cm</v>
      </c>
      <c r="I15" s="29"/>
      <c r="J15" s="16" t="s">
        <v>13</v>
      </c>
      <c r="K15" s="34">
        <f>0.0983*G12</f>
        <v>2.949</v>
      </c>
      <c r="L15" s="20" t="str">
        <f>IF($H$1="m","m",IF($H$1="dm","dm",IF($H$1="cm","cm","mm")))</f>
        <v>cm</v>
      </c>
      <c r="M15" s="47"/>
      <c r="N15" s="18" t="s">
        <v>15</v>
      </c>
      <c r="O15" s="34">
        <f>0.01695*G12^3</f>
        <v>457.65</v>
      </c>
      <c r="P15" s="20" t="str">
        <f>IF($H$1="m","m3",IF($H$1="dm","dm3",IF($H$1="cm","cm3","mm3")))</f>
        <v>cm3</v>
      </c>
      <c r="Q15" s="29"/>
      <c r="V15" s="37"/>
      <c r="W15" s="20"/>
      <c r="Y15" s="37"/>
      <c r="Z15" s="20"/>
      <c r="AB15" s="37"/>
      <c r="AC15" s="20"/>
      <c r="AE15" s="37"/>
      <c r="AF15" s="20"/>
    </row>
    <row r="16" spans="6:29" ht="22.5" customHeight="1">
      <c r="F16" s="16" t="s">
        <v>17</v>
      </c>
      <c r="G16" s="34">
        <f>0.3159*G12</f>
        <v>9.477</v>
      </c>
      <c r="H16" s="20" t="str">
        <f>IF($H$1="m","m",IF($H$1="dm","dm",IF($H$1="cm","cm","mm")))</f>
        <v>cm</v>
      </c>
      <c r="J16" s="18" t="s">
        <v>62</v>
      </c>
      <c r="K16" s="34">
        <f>0.003105*G12^4</f>
        <v>2515.05</v>
      </c>
      <c r="L16" s="20" t="str">
        <f>IF($H$1="m","m4",IF($H$1="dm","dm4",IF($H$1="cm","cm4","mm4")))</f>
        <v>cm4</v>
      </c>
      <c r="N16" s="20"/>
      <c r="O16" s="22"/>
      <c r="P16" s="37"/>
      <c r="Q16" s="29"/>
      <c r="S16" s="29"/>
      <c r="T16" s="29"/>
      <c r="AB16" s="37"/>
      <c r="AC16" s="20"/>
    </row>
    <row r="17" spans="6:32" ht="22.5" customHeight="1">
      <c r="F17" s="18" t="s">
        <v>59</v>
      </c>
      <c r="G17" s="34">
        <f>0.137*G12^4</f>
        <v>110970.00000000001</v>
      </c>
      <c r="H17" s="20" t="str">
        <f>IF($H$1="m","m4",IF($H$1="dm","dm4",IF($H$1="cm","cm4","mm4")))</f>
        <v>cm4</v>
      </c>
      <c r="I17" s="22"/>
      <c r="J17" s="16" t="s">
        <v>14</v>
      </c>
      <c r="K17" s="34">
        <f>0.7071*G12</f>
        <v>21.212999999999997</v>
      </c>
      <c r="L17" s="20" t="str">
        <f>IF($H$1="m","m",IF($H$1="dm","dm",IF($H$1="cm","cm","mm")))</f>
        <v>cm</v>
      </c>
      <c r="M17" s="37"/>
      <c r="N17" s="18" t="s">
        <v>16</v>
      </c>
      <c r="O17" s="34">
        <f>0.07937*G12^3</f>
        <v>2142.99</v>
      </c>
      <c r="P17" s="20" t="str">
        <f>IF($H$1="m","m3",IF($H$1="dm","dm3",IF($H$1="cm","cm3","mm3")))</f>
        <v>cm3</v>
      </c>
      <c r="Q17" s="20"/>
      <c r="V17" s="37"/>
      <c r="W17" s="20"/>
      <c r="Y17" s="37"/>
      <c r="Z17" s="20"/>
      <c r="AB17" s="37"/>
      <c r="AC17" s="20"/>
      <c r="AE17" s="37"/>
      <c r="AF17" s="20"/>
    </row>
    <row r="18" spans="1:33" s="64" customFormat="1" ht="9.75" customHeight="1">
      <c r="A18" s="22"/>
      <c r="B18" s="56"/>
      <c r="C18" s="56"/>
      <c r="D18" s="56"/>
      <c r="E18" s="57"/>
      <c r="S18" s="31"/>
      <c r="T18" s="31"/>
      <c r="U18" s="31"/>
      <c r="V18" s="39"/>
      <c r="W18" s="32"/>
      <c r="Y18" s="70"/>
      <c r="Z18" s="71"/>
      <c r="AG18" s="31"/>
    </row>
    <row r="19" spans="1:32" s="31" customFormat="1" ht="9.75" customHeight="1">
      <c r="A19" s="22"/>
      <c r="B19" s="60"/>
      <c r="C19" s="60"/>
      <c r="D19" s="60"/>
      <c r="E19" s="61"/>
      <c r="F19" s="62"/>
      <c r="G19" s="60"/>
      <c r="H19" s="61"/>
      <c r="I19" s="62"/>
      <c r="J19" s="60"/>
      <c r="K19" s="61"/>
      <c r="L19" s="62"/>
      <c r="M19" s="60"/>
      <c r="N19" s="61"/>
      <c r="O19" s="62"/>
      <c r="P19" s="63"/>
      <c r="Q19" s="28"/>
      <c r="S19" s="1"/>
      <c r="T19" s="1"/>
      <c r="V19" s="39"/>
      <c r="W19" s="32"/>
      <c r="Y19" s="39"/>
      <c r="Z19" s="32"/>
      <c r="AB19" s="39"/>
      <c r="AC19" s="32"/>
      <c r="AE19" s="39"/>
      <c r="AF19" s="32"/>
    </row>
    <row r="20" spans="2:18" ht="22.5" customHeight="1">
      <c r="B20" s="1"/>
      <c r="C20" s="31"/>
      <c r="D20" s="31"/>
      <c r="E20" s="39"/>
      <c r="F20" s="71" t="str">
        <f>IF(Info!H10&gt;2.5,"Sector of a circle",IF(Info!H10&gt;1.5,"Kreisausschnitt",IF(Info!H10&gt;0.5,"Daire dilimi","")))</f>
        <v>Daire dilimi</v>
      </c>
      <c r="G20" s="31"/>
      <c r="I20" s="32"/>
      <c r="J20" s="31"/>
      <c r="K20" s="39"/>
      <c r="L20" s="32"/>
      <c r="M20" s="31"/>
      <c r="R20" s="1"/>
    </row>
    <row r="21" spans="2:12" ht="22.5" customHeight="1">
      <c r="B21" s="1"/>
      <c r="C21" s="1"/>
      <c r="F21" s="16" t="s">
        <v>44</v>
      </c>
      <c r="G21" s="48">
        <v>30</v>
      </c>
      <c r="H21" s="20" t="str">
        <f>IF($H$1="m","m",IF($H$1="dm","dm",IF($H$1="cm","cm","mm")))</f>
        <v>cm</v>
      </c>
      <c r="J21" s="16" t="s">
        <v>32</v>
      </c>
      <c r="K21" s="34">
        <f>PI()*G21^2*G22/360</f>
        <v>471.23889803846896</v>
      </c>
      <c r="L21" s="20" t="str">
        <f>IF($H$1="m","m2",IF($H$1="dm","dm2",IF($H$1="cm","cm2","mm2")))</f>
        <v>cm2</v>
      </c>
    </row>
    <row r="22" spans="6:17" ht="22.5" customHeight="1">
      <c r="F22" s="35" t="s">
        <v>63</v>
      </c>
      <c r="G22" s="48">
        <v>60</v>
      </c>
      <c r="H22" s="20" t="s">
        <v>18</v>
      </c>
      <c r="I22" s="22"/>
      <c r="J22" s="18" t="s">
        <v>35</v>
      </c>
      <c r="K22" s="34">
        <f>J32-(360/PI()/G22*(SIN(G22*PI()/180/2))^2*4*G21^4/9)</f>
        <v>-171887.33853924694</v>
      </c>
      <c r="L22" s="20" t="str">
        <f>IF($H$1="m","m4",IF($H$1="dm","dm4",IF($H$1="cm","cm4","mm4")))</f>
        <v>cm4</v>
      </c>
      <c r="M22" s="37"/>
      <c r="N22" s="20"/>
      <c r="O22" s="22"/>
      <c r="P22" s="37"/>
      <c r="Q22" s="20"/>
    </row>
    <row r="23" spans="2:16" ht="22.5" customHeight="1">
      <c r="B23" s="29"/>
      <c r="C23" s="29"/>
      <c r="J23" s="16" t="s">
        <v>9</v>
      </c>
      <c r="K23" s="34">
        <f>2*G21*G24/3/G25</f>
        <v>19.09859317102744</v>
      </c>
      <c r="L23" s="20" t="str">
        <f>IF($H$1="m","m",IF($H$1="dm","dm",IF($H$1="cm","cm","mm")))</f>
        <v>cm</v>
      </c>
      <c r="N23" s="18" t="s">
        <v>75</v>
      </c>
      <c r="O23" s="34">
        <f>K22/(G21-K23)</f>
        <v>-15767.445544956972</v>
      </c>
      <c r="P23" s="20" t="str">
        <f>IF($H$1="m","m3",IF($H$1="dm","dm3",IF($H$1="cm","cm3","mm3")))</f>
        <v>cm3</v>
      </c>
    </row>
    <row r="24" spans="6:17" ht="22.5" customHeight="1">
      <c r="F24" s="16" t="s">
        <v>20</v>
      </c>
      <c r="G24" s="34">
        <f>2*SIN(G22*PI()/360)*G21</f>
        <v>29.999999999999996</v>
      </c>
      <c r="H24" s="20" t="str">
        <f>IF($H$1="m","m",IF($H$1="dm","dm",IF($H$1="cm","cm","mm")))</f>
        <v>cm</v>
      </c>
      <c r="I24" s="22"/>
      <c r="J24" s="18" t="s">
        <v>36</v>
      </c>
      <c r="K24" s="34">
        <f>G21^4/8*(PI()*G22/180-SIN(G22*PI()/180))</f>
        <v>18343.6799254811</v>
      </c>
      <c r="L24" s="20" t="str">
        <f>IF($H$1="m","m4",IF($H$1="dm","dm4",IF($H$1="cm","cm4","mm4")))</f>
        <v>cm4</v>
      </c>
      <c r="N24" s="18" t="s">
        <v>76</v>
      </c>
      <c r="O24" s="34">
        <f>K22/K23</f>
        <v>-9000</v>
      </c>
      <c r="P24" s="20" t="str">
        <f>IF($H$1="m","m3",IF($H$1="dm","dm3",IF($H$1="cm","cm3","mm3")))</f>
        <v>cm3</v>
      </c>
      <c r="Q24" s="20"/>
    </row>
    <row r="25" spans="6:16" ht="22.5" customHeight="1">
      <c r="F25" s="16" t="s">
        <v>19</v>
      </c>
      <c r="G25" s="34">
        <f>PI()*2*G21*G22/360</f>
        <v>31.41592653589793</v>
      </c>
      <c r="H25" s="20" t="str">
        <f>IF($H$1="m","m",IF($H$1="dm","dm",IF($H$1="cm","cm","mm")))</f>
        <v>cm</v>
      </c>
      <c r="J25" s="16" t="s">
        <v>21</v>
      </c>
      <c r="K25" s="34">
        <f>G24/2</f>
        <v>14.999999999999998</v>
      </c>
      <c r="L25" s="20" t="str">
        <f>IF($H$1="m","m",IF($H$1="dm","dm",IF($H$1="cm","cm","mm")))</f>
        <v>cm</v>
      </c>
      <c r="N25" s="18" t="s">
        <v>34</v>
      </c>
      <c r="O25" s="34">
        <f>K24*2/G24</f>
        <v>1222.9119950320735</v>
      </c>
      <c r="P25" s="20" t="str">
        <f>IF($H$1="m","m3",IF($H$1="dm","dm3",IF($H$1="cm","cm3","mm3")))</f>
        <v>cm3</v>
      </c>
    </row>
    <row r="26" spans="1:8" ht="22.5" customHeight="1">
      <c r="A26" s="31"/>
      <c r="B26" s="31"/>
      <c r="C26" s="31"/>
      <c r="D26" s="31"/>
      <c r="E26" s="39"/>
      <c r="F26" s="1"/>
      <c r="G26" s="1"/>
      <c r="H26" s="1"/>
    </row>
    <row r="27" spans="1:18" ht="9.75" customHeight="1">
      <c r="A27" s="31"/>
      <c r="B27" s="31"/>
      <c r="C27" s="31"/>
      <c r="D27" s="31"/>
      <c r="E27" s="39"/>
      <c r="I27" s="32"/>
      <c r="M27" s="31"/>
      <c r="Q27" s="31"/>
      <c r="R27" s="31"/>
    </row>
    <row r="28" ht="22.5" customHeight="1"/>
    <row r="29" ht="22.5" customHeight="1"/>
    <row r="30" ht="22.5" customHeight="1"/>
    <row r="31" ht="22.5" customHeight="1"/>
    <row r="32" ht="22.5" customHeight="1"/>
    <row r="33" ht="22.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23 L13:L22 L24" formula="1"/>
  </ignoredErrors>
  <legacyDrawing r:id="rId4"/>
  <oleObjects>
    <oleObject progId="AutoCAD.Drawing.15" shapeId="1165225" r:id="rId1"/>
    <oleObject progId="AutoCAD.Drawing.15" shapeId="1348140" r:id="rId2"/>
    <oleObject progId="AutoCAD.Drawing.15" shapeId="1385561" r:id="rId3"/>
  </oleObjects>
</worksheet>
</file>

<file path=xl/worksheets/sheet9.xml><?xml version="1.0" encoding="utf-8"?>
<worksheet xmlns="http://schemas.openxmlformats.org/spreadsheetml/2006/main" xmlns:r="http://schemas.openxmlformats.org/officeDocument/2006/relationships">
  <dimension ref="A1:AG27"/>
  <sheetViews>
    <sheetView showGridLines="0" showRowColHeaders="0" zoomScale="80" zoomScaleNormal="80" workbookViewId="0" topLeftCell="A1">
      <selection activeCell="I2" sqref="I2"/>
    </sheetView>
  </sheetViews>
  <sheetFormatPr defaultColWidth="9.140625" defaultRowHeight="12.75"/>
  <cols>
    <col min="1" max="1" width="3.28125" style="22" customWidth="1"/>
    <col min="2" max="2" width="7.7109375" style="22" customWidth="1"/>
    <col min="3" max="3" width="15.7109375" style="22" customWidth="1"/>
    <col min="4" max="4" width="7.7109375" style="22" customWidth="1"/>
    <col min="5" max="5" width="4.7109375" style="37" customWidth="1"/>
    <col min="6" max="6" width="7.7109375" style="20" customWidth="1"/>
    <col min="7" max="7" width="15.7109375" style="22" customWidth="1"/>
    <col min="8" max="8" width="7.7109375" style="37" customWidth="1"/>
    <col min="9" max="9" width="4.7109375" style="20" customWidth="1"/>
    <col min="10" max="10" width="7.7109375" style="22" customWidth="1"/>
    <col min="11" max="11" width="15.7109375" style="37" customWidth="1"/>
    <col min="12" max="12" width="7.7109375" style="20" customWidth="1"/>
    <col min="13" max="13" width="4.7109375" style="22" customWidth="1"/>
    <col min="14" max="14" width="7.7109375" style="37" customWidth="1"/>
    <col min="15" max="15" width="15.7109375" style="20" customWidth="1"/>
    <col min="16" max="16" width="7.7109375" style="22" customWidth="1"/>
    <col min="17" max="17" width="4.140625" style="22" customWidth="1"/>
    <col min="18" max="43" width="7.7109375" style="22" customWidth="1"/>
    <col min="44" max="146" width="4.8515625" style="22" customWidth="1"/>
    <col min="147" max="16384" width="11.421875" style="22" customWidth="1"/>
  </cols>
  <sheetData>
    <row r="1" spans="7:12" ht="22.5" customHeight="1">
      <c r="G1" s="19" t="str">
        <f>IF(Info!H10&gt;2.5,"Selection of the unit",IF(Info!H10&gt;1.5,"Auswahl der Einheit :",IF(Info!H10&gt;0.5,"Birim seçimi :","")))</f>
        <v>Birim seçimi :</v>
      </c>
      <c r="H1" s="52" t="s">
        <v>30</v>
      </c>
      <c r="I1" s="21" t="str">
        <f>IF(Info!H10&gt;2.5,"m, dm, cm or mm",IF(Info!H10&gt;1.5,"m, dm, cm oder mm",IF(Info!H10&gt;0.5,"m, dm, cm veya mm","")))</f>
        <v>m, dm, cm veya mm</v>
      </c>
      <c r="L1" s="22" t="str">
        <f>Info!B9</f>
        <v>Copyright : M. G. Kutay , Ver 09.01</v>
      </c>
    </row>
    <row r="2" spans="2:11" ht="22.5" customHeight="1">
      <c r="B2" s="1"/>
      <c r="F2" s="64" t="str">
        <f>IF(Info!H10&gt;2.5,"Segment of circle",IF(Info!H10&gt;1.5,"Kreisabschnitt",IF(Info!H10&gt;0.5,"Daire kesiti")))</f>
        <v>Daire kesiti</v>
      </c>
      <c r="J2" s="16"/>
      <c r="K2" s="1"/>
    </row>
    <row r="3" spans="6:30" ht="22.5" customHeight="1">
      <c r="F3" s="16" t="s">
        <v>44</v>
      </c>
      <c r="G3" s="48">
        <v>30</v>
      </c>
      <c r="H3" s="20" t="str">
        <f>IF($H$1="m","m",IF($H$1="dm","dm",IF($H$1="cm","cm","mm")))</f>
        <v>cm</v>
      </c>
      <c r="J3" s="16" t="s">
        <v>32</v>
      </c>
      <c r="K3" s="34">
        <f>G3^2/2*(PI()*G4/180-SIN(G4*PI()/180))</f>
        <v>81.52746633547156</v>
      </c>
      <c r="L3" s="20" t="str">
        <f>IF($H$1="m","m2",IF($H$1="dm","dm2",IF($H$1="cm","cm2","mm2")))</f>
        <v>cm2</v>
      </c>
      <c r="S3" s="24"/>
      <c r="T3" s="37"/>
      <c r="U3" s="20"/>
      <c r="W3" s="37"/>
      <c r="X3" s="20"/>
      <c r="Z3" s="37"/>
      <c r="AA3" s="20"/>
      <c r="AC3" s="37"/>
      <c r="AD3" s="20"/>
    </row>
    <row r="4" spans="6:17" ht="22.5" customHeight="1">
      <c r="F4" s="35" t="s">
        <v>63</v>
      </c>
      <c r="G4" s="48">
        <v>60</v>
      </c>
      <c r="H4" s="20" t="s">
        <v>18</v>
      </c>
      <c r="I4" s="22"/>
      <c r="J4" s="18" t="s">
        <v>35</v>
      </c>
      <c r="K4" s="34">
        <f>G3^4/16*(PI()*G4/90-SIN(2*G4*PI()/180))-20*G3^4*(1-COS(G4*PI()/180))^3/(PI()*G4-180*SIN(G4*PI()/180))</f>
        <v>90.57844129886507</v>
      </c>
      <c r="L4" s="20" t="str">
        <f>IF($H$1="m","m4",IF($H$1="dm","dm4",IF($H$1="cm","cm4","mm4")))</f>
        <v>cm4</v>
      </c>
      <c r="M4" s="37"/>
      <c r="N4" s="20"/>
      <c r="O4" s="22"/>
      <c r="P4" s="37"/>
      <c r="Q4" s="20"/>
    </row>
    <row r="5" spans="6:30" ht="22.5" customHeight="1">
      <c r="F5" s="16" t="s">
        <v>20</v>
      </c>
      <c r="G5" s="34">
        <f>2*SIN(G4*PI()/360)*G3</f>
        <v>29.999999999999996</v>
      </c>
      <c r="H5" s="20" t="str">
        <f>IF($H$1="m","m",IF($H$1="dm","dm",IF($H$1="cm","cm","mm")))</f>
        <v>cm</v>
      </c>
      <c r="J5" s="16" t="s">
        <v>9</v>
      </c>
      <c r="K5" s="34">
        <f>K8-G3*COS(G4/2*PI()/180)</f>
        <v>1.6172990201421413</v>
      </c>
      <c r="L5" s="20" t="str">
        <f>IF($H$1="m","m",IF($H$1="dm","dm",IF($H$1="cm","cm","mm")))</f>
        <v>cm</v>
      </c>
      <c r="N5" s="18" t="s">
        <v>26</v>
      </c>
      <c r="O5" s="34">
        <f>K4/(G7-K5)</f>
        <v>37.7105523245322</v>
      </c>
      <c r="P5" s="20" t="str">
        <f>IF($H$1="m","m3",IF($H$1="dm","dm3",IF($H$1="cm","cm3","mm3")))</f>
        <v>cm3</v>
      </c>
      <c r="S5" s="25"/>
      <c r="T5" s="38"/>
      <c r="U5" s="26"/>
      <c r="V5" s="25"/>
      <c r="W5" s="38"/>
      <c r="X5" s="26"/>
      <c r="Y5" s="25"/>
      <c r="Z5" s="38"/>
      <c r="AA5" s="26"/>
      <c r="AB5" s="25"/>
      <c r="AC5" s="38"/>
      <c r="AD5" s="26"/>
    </row>
    <row r="6" spans="6:24" s="25" customFormat="1" ht="22.5" customHeight="1">
      <c r="F6" s="16" t="s">
        <v>19</v>
      </c>
      <c r="G6" s="34">
        <f>PI()*2*G3*G4/360</f>
        <v>31.41592653589793</v>
      </c>
      <c r="H6" s="20" t="str">
        <f>IF($H$1="m","m",IF($H$1="dm","dm",IF($H$1="cm","cm","mm")))</f>
        <v>cm</v>
      </c>
      <c r="I6" s="22"/>
      <c r="J6" s="18" t="s">
        <v>36</v>
      </c>
      <c r="K6" s="34">
        <f>G3^4/48*(PI()*G4/30-(8*SIN(G4*PI()/180)-SIN(2*G4*PI()/180)))</f>
        <v>3729.5012366186897</v>
      </c>
      <c r="L6" s="20" t="str">
        <f>IF($H$1="m","m4",IF($H$1="dm","dm4",IF($H$1="cm","cm4","mm4")))</f>
        <v>cm4</v>
      </c>
      <c r="M6" s="22"/>
      <c r="N6" s="20"/>
      <c r="O6" s="22"/>
      <c r="P6" s="37"/>
      <c r="Q6" s="20"/>
      <c r="S6" s="31"/>
      <c r="T6" s="1"/>
      <c r="U6" s="32"/>
      <c r="V6" s="31"/>
      <c r="W6" s="39"/>
      <c r="X6" s="32"/>
    </row>
    <row r="7" spans="6:17" ht="22.5" customHeight="1">
      <c r="F7" s="16" t="s">
        <v>24</v>
      </c>
      <c r="G7" s="34">
        <f>G3*(1-COS(G4/2*PI()/180))</f>
        <v>4.019237886466839</v>
      </c>
      <c r="H7" s="20" t="str">
        <f>IF($H$1="m","m",IF($H$1="dm","dm",IF($H$1="cm","cm","mm")))</f>
        <v>cm</v>
      </c>
      <c r="J7" s="16" t="s">
        <v>21</v>
      </c>
      <c r="K7" s="34">
        <f>G5/2</f>
        <v>14.999999999999998</v>
      </c>
      <c r="L7" s="20" t="str">
        <f>IF($H$1="m","m",IF($H$1="dm","dm",IF($H$1="cm","cm","mm")))</f>
        <v>cm</v>
      </c>
      <c r="M7" s="37"/>
      <c r="N7" s="18" t="s">
        <v>34</v>
      </c>
      <c r="O7" s="34">
        <f>2*K6/G5</f>
        <v>248.63341577457933</v>
      </c>
      <c r="P7" s="20" t="str">
        <f>IF($H$1="m","m3",IF($H$1="dm","dm3",IF($H$1="cm","cm3","mm3")))</f>
        <v>cm3</v>
      </c>
      <c r="Q7" s="55"/>
    </row>
    <row r="8" spans="10:29" ht="22.5" customHeight="1">
      <c r="J8" s="16" t="s">
        <v>25</v>
      </c>
      <c r="K8" s="34">
        <f>G5^3/12/K3</f>
        <v>27.5980611336753</v>
      </c>
      <c r="L8" s="20" t="s">
        <v>3</v>
      </c>
      <c r="V8" s="39"/>
      <c r="W8" s="32"/>
      <c r="X8" s="31"/>
      <c r="Y8" s="39"/>
      <c r="Z8" s="32"/>
      <c r="AA8" s="31"/>
      <c r="AB8" s="39"/>
      <c r="AC8" s="32"/>
    </row>
    <row r="9" spans="2:17" ht="9.75" customHeight="1">
      <c r="B9" s="56"/>
      <c r="C9" s="56"/>
      <c r="D9" s="56"/>
      <c r="E9" s="57"/>
      <c r="F9" s="58"/>
      <c r="G9" s="56"/>
      <c r="H9" s="57"/>
      <c r="I9" s="58"/>
      <c r="J9" s="56"/>
      <c r="K9" s="57"/>
      <c r="L9" s="58"/>
      <c r="M9" s="56"/>
      <c r="N9" s="57"/>
      <c r="O9" s="58"/>
      <c r="P9" s="59"/>
      <c r="Q9" s="29"/>
    </row>
    <row r="10" spans="2:29" ht="9.75" customHeight="1">
      <c r="B10" s="60"/>
      <c r="C10" s="60"/>
      <c r="D10" s="60"/>
      <c r="E10" s="61"/>
      <c r="F10" s="62"/>
      <c r="G10" s="60"/>
      <c r="H10" s="61"/>
      <c r="I10" s="62"/>
      <c r="J10" s="60"/>
      <c r="K10" s="61"/>
      <c r="L10" s="62"/>
      <c r="M10" s="60"/>
      <c r="N10" s="61"/>
      <c r="O10" s="62"/>
      <c r="P10" s="63"/>
      <c r="Q10" s="28"/>
      <c r="R10" s="16"/>
      <c r="S10" s="37"/>
      <c r="T10" s="20"/>
      <c r="V10" s="37"/>
      <c r="W10" s="20"/>
      <c r="Y10" s="37"/>
      <c r="Z10" s="20"/>
      <c r="AB10" s="37"/>
      <c r="AC10" s="20"/>
    </row>
    <row r="11" spans="2:16" ht="22.5" customHeight="1">
      <c r="B11" s="1"/>
      <c r="F11" s="30" t="str">
        <f>IF(Info!H10&gt;2.5,"Ellipse",IF(Info!H10&gt;1.5,"Ellipse",IF(Info!H10&gt;0.5,"Elips")))</f>
        <v>Elips</v>
      </c>
      <c r="J11" s="1"/>
      <c r="K11" s="1"/>
      <c r="L11" s="1"/>
      <c r="M11" s="1"/>
      <c r="N11" s="1"/>
      <c r="P11" s="1"/>
    </row>
    <row r="12" spans="1:19" ht="22.5" customHeight="1">
      <c r="A12" s="1"/>
      <c r="B12" s="1"/>
      <c r="C12" s="1"/>
      <c r="D12" s="1"/>
      <c r="E12" s="1"/>
      <c r="F12" s="16" t="s">
        <v>50</v>
      </c>
      <c r="G12" s="48">
        <v>30</v>
      </c>
      <c r="H12" s="20" t="str">
        <f>IF($H$1="m","m",IF($H$1="dm","dm",IF($H$1="cm","cm","mm")))</f>
        <v>cm</v>
      </c>
      <c r="J12" s="16" t="s">
        <v>32</v>
      </c>
      <c r="K12" s="34">
        <f>PI()*G12*G13</f>
        <v>1884.9555921538758</v>
      </c>
      <c r="L12" s="20" t="str">
        <f>IF($H$1="m","m2",IF($H$1="dm","dm2",IF($H$1="cm","cm2","mm2")))</f>
        <v>cm2</v>
      </c>
      <c r="S12" s="31"/>
    </row>
    <row r="13" spans="2:19" ht="22.5" customHeight="1">
      <c r="B13" s="31"/>
      <c r="C13" s="31"/>
      <c r="D13" s="31"/>
      <c r="E13" s="39"/>
      <c r="F13" s="16" t="s">
        <v>19</v>
      </c>
      <c r="G13" s="48">
        <v>20</v>
      </c>
      <c r="H13" s="20" t="str">
        <f>IF($H$1="m","m",IF($H$1="dm","dm",IF($H$1="cm","cm","mm")))</f>
        <v>cm</v>
      </c>
      <c r="I13" s="22"/>
      <c r="J13" s="18" t="s">
        <v>35</v>
      </c>
      <c r="K13" s="34">
        <f>PI()*G12^3*G13/4</f>
        <v>424115.0082346221</v>
      </c>
      <c r="L13" s="20" t="str">
        <f>IF($H$1="m","m4",IF($H$1="dm","dm4",IF($H$1="cm","cm4","mm4")))</f>
        <v>cm4</v>
      </c>
      <c r="M13" s="37"/>
      <c r="N13" s="20"/>
      <c r="O13" s="22"/>
      <c r="P13" s="37"/>
      <c r="Q13" s="20"/>
      <c r="R13" s="31"/>
      <c r="S13" s="31"/>
    </row>
    <row r="14" spans="10:26" ht="22.5" customHeight="1">
      <c r="J14" s="16" t="s">
        <v>9</v>
      </c>
      <c r="K14" s="34">
        <f>G12</f>
        <v>30</v>
      </c>
      <c r="L14" s="20" t="str">
        <f>IF($H$1="m","m",IF($H$1="dm","dm",IF($H$1="cm","cm","mm")))</f>
        <v>cm</v>
      </c>
      <c r="N14" s="18" t="s">
        <v>26</v>
      </c>
      <c r="O14" s="34">
        <f>PI()*G12^2*G13/4</f>
        <v>14137.166941154068</v>
      </c>
      <c r="P14" s="20" t="str">
        <f>IF($H$1="m","m3",IF($H$1="dm","dm3",IF($H$1="cm","cm3","mm3")))</f>
        <v>cm3</v>
      </c>
      <c r="V14" s="37"/>
      <c r="Z14" s="20"/>
    </row>
    <row r="15" spans="6:32" ht="22.5" customHeight="1">
      <c r="F15" s="36" t="s">
        <v>64</v>
      </c>
      <c r="G15" s="75">
        <f>IF((G12-G13)/(G12+G13)&gt;0.85,3.8208,IF((G12-G13)/(G12+G13)&gt;0.75,3.6691,IF((G12-G13)/(G12+G13)&gt;0.65,3.5401,IF((G12-G13)/(G12+G13)&gt;0.55,3.4314,IF((G12-G13)/(G12+G13)&gt;0.45,3.3412,IF((G12-G13)/(G12+G13)&gt;0.35,3.2686,IF((G12-G13)/(G12+G13)&gt;0.25,3.2127,IF((G12-G13)/(G12+G13)&gt;0.15,3.1731,3.1495))))))))</f>
        <v>3.1731</v>
      </c>
      <c r="H15" s="29"/>
      <c r="I15" s="29"/>
      <c r="J15" s="18" t="s">
        <v>36</v>
      </c>
      <c r="K15" s="34">
        <f>PI()*G12*G13^3/4</f>
        <v>188495.55921538756</v>
      </c>
      <c r="L15" s="20" t="str">
        <f>IF($H$1="m","m4",IF($H$1="dm","dm4",IF($H$1="cm","cm4","mm4")))</f>
        <v>cm4</v>
      </c>
      <c r="N15" s="29"/>
      <c r="O15" s="29"/>
      <c r="P15" s="47"/>
      <c r="Q15" s="29"/>
      <c r="V15" s="37"/>
      <c r="W15" s="20"/>
      <c r="Y15" s="37"/>
      <c r="Z15" s="20"/>
      <c r="AB15" s="37"/>
      <c r="AC15" s="20"/>
      <c r="AE15" s="37"/>
      <c r="AF15" s="20"/>
    </row>
    <row r="16" spans="6:29" ht="22.5" customHeight="1">
      <c r="F16" s="18" t="s">
        <v>65</v>
      </c>
      <c r="G16" s="34">
        <f>G15*(G12+G13)</f>
        <v>158.655</v>
      </c>
      <c r="H16" s="20" t="str">
        <f>IF($H$1="m","m",IF($H$1="dm","dm",IF($H$1="cm","cm","mm")))</f>
        <v>cm</v>
      </c>
      <c r="J16" s="16" t="s">
        <v>21</v>
      </c>
      <c r="K16" s="34">
        <f>G13</f>
        <v>20</v>
      </c>
      <c r="L16" s="20" t="str">
        <f>IF($H$1="m","m",IF($H$1="dm","dm",IF($H$1="cm","cm","mm")))</f>
        <v>cm</v>
      </c>
      <c r="N16" s="18" t="s">
        <v>34</v>
      </c>
      <c r="O16" s="34">
        <f>PI()*G12*K16^2/4</f>
        <v>9424.77796076938</v>
      </c>
      <c r="P16" s="20" t="str">
        <f>IF($H$1="m","m3",IF($H$1="dm","dm3",IF($H$1="cm","cm3","mm3")))</f>
        <v>cm3</v>
      </c>
      <c r="S16" s="29"/>
      <c r="T16" s="29"/>
      <c r="AB16" s="37"/>
      <c r="AC16" s="20"/>
    </row>
    <row r="17" spans="6:32" ht="22.5" customHeight="1">
      <c r="F17" s="1"/>
      <c r="G17" s="1"/>
      <c r="H17" s="1"/>
      <c r="I17" s="1"/>
      <c r="J17" s="1"/>
      <c r="K17" s="1"/>
      <c r="O17" s="1"/>
      <c r="P17" s="1"/>
      <c r="Q17" s="20"/>
      <c r="V17" s="37"/>
      <c r="W17" s="20"/>
      <c r="Y17" s="37"/>
      <c r="Z17" s="20"/>
      <c r="AB17" s="37"/>
      <c r="AC17" s="20"/>
      <c r="AE17" s="37"/>
      <c r="AF17" s="20"/>
    </row>
    <row r="18" spans="1:33" s="64" customFormat="1" ht="9.75" customHeight="1">
      <c r="A18" s="22"/>
      <c r="B18" s="56"/>
      <c r="C18" s="56"/>
      <c r="D18" s="56"/>
      <c r="E18" s="57"/>
      <c r="S18" s="31"/>
      <c r="T18" s="31"/>
      <c r="U18" s="31"/>
      <c r="V18" s="39"/>
      <c r="W18" s="32"/>
      <c r="Y18" s="70"/>
      <c r="Z18" s="71"/>
      <c r="AG18" s="31"/>
    </row>
    <row r="19" spans="1:32" s="31" customFormat="1" ht="9.75" customHeight="1">
      <c r="A19" s="22"/>
      <c r="B19" s="60"/>
      <c r="C19" s="60"/>
      <c r="D19" s="60"/>
      <c r="E19" s="61"/>
      <c r="F19" s="62"/>
      <c r="G19" s="60"/>
      <c r="H19" s="61"/>
      <c r="I19" s="62"/>
      <c r="J19" s="60"/>
      <c r="K19" s="61"/>
      <c r="L19" s="62"/>
      <c r="M19" s="60"/>
      <c r="N19" s="61"/>
      <c r="O19" s="62"/>
      <c r="P19" s="63"/>
      <c r="Q19" s="28"/>
      <c r="S19" s="1"/>
      <c r="T19" s="1"/>
      <c r="V19" s="39"/>
      <c r="W19" s="32"/>
      <c r="Y19" s="39"/>
      <c r="Z19" s="32"/>
      <c r="AB19" s="39"/>
      <c r="AC19" s="32"/>
      <c r="AE19" s="39"/>
      <c r="AF19" s="32"/>
    </row>
    <row r="20" spans="2:18" ht="22.5" customHeight="1">
      <c r="B20" s="1"/>
      <c r="C20" s="31"/>
      <c r="D20" s="31"/>
      <c r="E20" s="39"/>
      <c r="F20" s="71" t="str">
        <f>IF(Info!H10&gt;2.5,"Ellipse ring",IF(Info!H10&gt;1.5,"Ellipsering",IF(Info!H10&gt;0.5,"Elips bilezik")))</f>
        <v>Elips bilezik</v>
      </c>
      <c r="G20" s="31"/>
      <c r="I20" s="32"/>
      <c r="J20" s="31"/>
      <c r="K20" s="39"/>
      <c r="L20" s="32"/>
      <c r="M20" s="31"/>
      <c r="R20" s="1"/>
    </row>
    <row r="21" spans="2:12" ht="22.5" customHeight="1">
      <c r="B21" s="1"/>
      <c r="C21" s="1"/>
      <c r="F21" s="16" t="s">
        <v>66</v>
      </c>
      <c r="G21" s="48">
        <v>3</v>
      </c>
      <c r="H21" s="20" t="str">
        <f>IF($H$1="m","m",IF($H$1="dm","dm",IF($H$1="cm","cm","mm")))</f>
        <v>cm</v>
      </c>
      <c r="J21" s="16" t="s">
        <v>32</v>
      </c>
      <c r="K21" s="34">
        <f>PI()*(G21*G23-G22*G24)</f>
        <v>7.0685834705770345</v>
      </c>
      <c r="L21" s="20" t="str">
        <f>IF($H$1="m","m2",IF($H$1="dm","dm2",IF($H$1="cm","cm2","mm2")))</f>
        <v>cm2</v>
      </c>
    </row>
    <row r="22" spans="6:17" ht="22.5" customHeight="1">
      <c r="F22" s="16" t="s">
        <v>68</v>
      </c>
      <c r="G22" s="48">
        <v>2.5</v>
      </c>
      <c r="H22" s="20" t="str">
        <f>IF($H$1="m","m",IF($H$1="dm","dm",IF($H$1="cm","cm","mm")))</f>
        <v>cm</v>
      </c>
      <c r="I22" s="22"/>
      <c r="J22" s="18" t="s">
        <v>35</v>
      </c>
      <c r="K22" s="34">
        <f>PI()*(G21^3*G23-G22^3*G24)/4</f>
        <v>24.00373136883451</v>
      </c>
      <c r="L22" s="20" t="str">
        <f>IF($H$1="m","m4",IF($H$1="dm","dm4",IF($H$1="cm","cm4","mm4")))</f>
        <v>cm4</v>
      </c>
      <c r="M22" s="37"/>
      <c r="N22" s="20"/>
      <c r="O22" s="22"/>
      <c r="P22" s="37"/>
      <c r="Q22" s="20"/>
    </row>
    <row r="23" spans="2:17" ht="22.5" customHeight="1">
      <c r="B23" s="29"/>
      <c r="C23" s="29"/>
      <c r="F23" s="16" t="s">
        <v>67</v>
      </c>
      <c r="G23" s="48">
        <v>2</v>
      </c>
      <c r="H23" s="20" t="str">
        <f>IF($H$1="m","m",IF($H$1="dm","dm",IF($H$1="cm","cm","mm")))</f>
        <v>cm</v>
      </c>
      <c r="J23" s="16" t="s">
        <v>9</v>
      </c>
      <c r="K23" s="34">
        <f>G21</f>
        <v>3</v>
      </c>
      <c r="L23" s="20" t="str">
        <f>IF($H$1="m","m",IF($H$1="dm","dm",IF($H$1="cm","cm","mm")))</f>
        <v>cm</v>
      </c>
      <c r="N23" s="18" t="s">
        <v>26</v>
      </c>
      <c r="O23" s="34">
        <f>PI()*(G21^3*G23-G22^3*G24)/4/G21</f>
        <v>8.001243789611504</v>
      </c>
      <c r="P23" s="20" t="str">
        <f>IF($H$1="m","m3",IF($H$1="dm","dm3",IF($H$1="cm","cm3","mm3")))</f>
        <v>cm3</v>
      </c>
      <c r="Q23" s="20"/>
    </row>
    <row r="24" spans="6:17" ht="22.5" customHeight="1">
      <c r="F24" s="16" t="s">
        <v>69</v>
      </c>
      <c r="G24" s="48">
        <v>1.5</v>
      </c>
      <c r="H24" s="20" t="str">
        <f>IF($H$1="m","m",IF($H$1="dm","dm",IF($H$1="cm","cm","mm")))</f>
        <v>cm</v>
      </c>
      <c r="I24" s="22"/>
      <c r="J24" s="18" t="s">
        <v>36</v>
      </c>
      <c r="K24" s="34">
        <f>PI()*(G21*G23^3-G22*G24^3)/4</f>
        <v>12.222758917872788</v>
      </c>
      <c r="L24" s="20" t="str">
        <f>IF($H$1="m","m4",IF($H$1="dm","dm4",IF($H$1="cm","cm4","mm4")))</f>
        <v>cm4</v>
      </c>
      <c r="M24" s="37"/>
      <c r="N24" s="20"/>
      <c r="O24" s="22"/>
      <c r="P24" s="37"/>
      <c r="Q24" s="20"/>
    </row>
    <row r="25" spans="10:16" ht="22.5" customHeight="1">
      <c r="J25" s="16" t="s">
        <v>21</v>
      </c>
      <c r="K25" s="34">
        <f>G23</f>
        <v>2</v>
      </c>
      <c r="L25" s="20" t="str">
        <f>IF($H$1="m","m",IF($H$1="dm","dm",IF($H$1="cm","cm","mm")))</f>
        <v>cm</v>
      </c>
      <c r="N25" s="18" t="s">
        <v>34</v>
      </c>
      <c r="O25" s="34">
        <f>PI()*(G21*G23^3-G22*G24^3)/4/G23</f>
        <v>6.111379458936394</v>
      </c>
      <c r="P25" s="20" t="str">
        <f>IF($H$1="m","m3",IF($H$1="dm","dm3",IF($H$1="cm","cm3","mm3")))</f>
        <v>cm3</v>
      </c>
    </row>
    <row r="26" spans="1:16" ht="22.5" customHeight="1">
      <c r="A26" s="31"/>
      <c r="B26" s="31"/>
      <c r="C26" s="31"/>
      <c r="D26" s="31"/>
      <c r="E26" s="39"/>
      <c r="F26" s="1"/>
      <c r="G26" s="1"/>
      <c r="H26" s="1"/>
      <c r="I26" s="1"/>
      <c r="J26" s="1"/>
      <c r="K26" s="1"/>
      <c r="O26" s="1"/>
      <c r="P26" s="1"/>
    </row>
    <row r="27" spans="1:18" ht="22.5" customHeight="1">
      <c r="A27" s="31"/>
      <c r="B27" s="31"/>
      <c r="C27" s="31"/>
      <c r="D27" s="31"/>
      <c r="E27" s="39"/>
      <c r="I27" s="32"/>
      <c r="M27" s="31"/>
      <c r="Q27" s="31"/>
      <c r="R27" s="31"/>
    </row>
    <row r="28" ht="22.5" customHeight="1"/>
    <row r="29" ht="22.5" customHeight="1"/>
    <row r="30" ht="22.5" customHeight="1"/>
    <row r="31" ht="22.5" customHeight="1"/>
    <row r="32" ht="22.5" customHeight="1"/>
    <row r="33" ht="22.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password="DBE4" sheet="1" objects="1" scenarios="1"/>
  <printOptions horizontalCentered="1" verticalCentered="1"/>
  <pageMargins left="0.1968503937007874" right="0.1968503937007874" top="0.3937007874015748" bottom="0.3937007874015748" header="0.5118110236220472" footer="0.5118110236220472"/>
  <pageSetup horizontalDpi="300" verticalDpi="300" orientation="landscape" paperSize="9" r:id="rId5"/>
  <ignoredErrors>
    <ignoredError sqref="L5 K24 L23 L14 L24:L25 L6:L13 L15:L22" formula="1"/>
  </ignoredErrors>
  <legacyDrawing r:id="rId4"/>
  <oleObjects>
    <oleObject progId="AutoCAD.Drawing.15" shapeId="1425432" r:id="rId1"/>
    <oleObject progId="AutoCAD.Drawing.15" shapeId="1453392" r:id="rId2"/>
    <oleObject progId="AutoCAD.Drawing.15" shapeId="145539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h17253</dc:creator>
  <cp:keywords/>
  <dc:description/>
  <cp:lastModifiedBy>GUVEN</cp:lastModifiedBy>
  <cp:lastPrinted>2007-02-24T14:55:45Z</cp:lastPrinted>
  <dcterms:created xsi:type="dcterms:W3CDTF">1999-03-10T07:35:35Z</dcterms:created>
  <dcterms:modified xsi:type="dcterms:W3CDTF">2010-02-06T09:52:22Z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